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dministratie\Aanvraagformulieren vakkenpakketten\Live\Bachelor\Wiskunde\"/>
    </mc:Choice>
  </mc:AlternateContent>
  <bookViews>
    <workbookView xWindow="0" yWindow="0" windowWidth="28800" windowHeight="12285" tabRatio="667"/>
  </bookViews>
  <sheets>
    <sheet name="Programme" sheetId="1" r:id="rId1"/>
    <sheet name="Cohorts" sheetId="2" state="veryHidden" r:id="rId2"/>
    <sheet name="Minors" sheetId="45" state="veryHidden" r:id="rId3"/>
    <sheet name="Selections" sheetId="3" state="veryHidden" r:id="rId4"/>
  </sheets>
  <definedNames>
    <definedName name="cohort">Selections!$G$4:$G$14</definedName>
    <definedName name="math_elective_list">Selections!$N$23:$P$56</definedName>
    <definedName name="math_elective_selection">Selections!$N$23:$N$56</definedName>
    <definedName name="math_electives_2016_lijst">Selections!$R$23:$U$45</definedName>
    <definedName name="math_electives_2016_selectie">Selections!$R$23:$R$45</definedName>
    <definedName name="math_electives_2018_lijst">Selections!$V$23:$X$37</definedName>
    <definedName name="math_electives_2018_selectie">Selections!$V$23:$V$37</definedName>
    <definedName name="minor_yes_no" localSheetId="2">Minors!$I$1:$I$2</definedName>
    <definedName name="minor_yes_no">#REF!</definedName>
    <definedName name="minorlist">Selections!$H$4:$H$26</definedName>
    <definedName name="_xlnm.Print_Area" localSheetId="0">Programme!$B$12:$I$197</definedName>
    <definedName name="prospectuslist">Selections!$I$5:$I$12</definedName>
    <definedName name="YesNoMain">Selections!$F$3:$F$4</definedName>
  </definedNames>
  <calcPr calcId="162913"/>
</workbook>
</file>

<file path=xl/calcChain.xml><?xml version="1.0" encoding="utf-8"?>
<calcChain xmlns="http://schemas.openxmlformats.org/spreadsheetml/2006/main">
  <c r="B351" i="45" l="1"/>
  <c r="B350" i="45"/>
  <c r="B349" i="45"/>
  <c r="B348" i="45"/>
  <c r="B330" i="45"/>
  <c r="B299" i="45"/>
  <c r="B298" i="45"/>
  <c r="B297" i="45"/>
  <c r="J293" i="45"/>
  <c r="J292" i="45"/>
  <c r="J291" i="45"/>
  <c r="F291" i="45"/>
  <c r="J290" i="45"/>
  <c r="J289" i="45"/>
  <c r="F289" i="45"/>
  <c r="B289" i="45"/>
  <c r="J288" i="45"/>
  <c r="F288" i="45"/>
  <c r="B288" i="45"/>
  <c r="J287" i="45"/>
  <c r="F287" i="45"/>
  <c r="B287" i="45"/>
  <c r="J286" i="45"/>
  <c r="F286" i="45"/>
  <c r="B286" i="45"/>
  <c r="J285" i="45"/>
  <c r="F285" i="45"/>
  <c r="J284" i="45"/>
  <c r="F284" i="45"/>
  <c r="B284" i="45"/>
  <c r="J277" i="45"/>
  <c r="F277" i="45"/>
  <c r="J276" i="45"/>
  <c r="F276" i="45"/>
  <c r="B276" i="45"/>
  <c r="J275" i="45"/>
  <c r="F275" i="45"/>
  <c r="J274" i="45"/>
  <c r="F274" i="45"/>
  <c r="B274" i="45"/>
  <c r="F269" i="45"/>
  <c r="F268" i="45"/>
  <c r="F267" i="45"/>
  <c r="F265" i="45"/>
  <c r="F264" i="45"/>
  <c r="F263" i="45"/>
  <c r="F262" i="45"/>
  <c r="B262" i="45"/>
  <c r="F261" i="45"/>
  <c r="B261" i="45"/>
  <c r="F260" i="45"/>
  <c r="B260" i="45"/>
  <c r="F259" i="45"/>
  <c r="B259" i="45"/>
  <c r="F258" i="45"/>
  <c r="B258" i="45"/>
  <c r="F254" i="45"/>
  <c r="F253" i="45"/>
  <c r="B252" i="45"/>
  <c r="J251" i="45"/>
  <c r="F251" i="45"/>
  <c r="B251" i="45"/>
  <c r="J250" i="45"/>
  <c r="F250" i="45"/>
  <c r="J249" i="45"/>
  <c r="B249" i="45"/>
  <c r="J248" i="45"/>
  <c r="F248" i="45"/>
  <c r="B248" i="45"/>
  <c r="J247" i="45"/>
  <c r="F247" i="45"/>
  <c r="B247" i="45"/>
  <c r="J246" i="45"/>
  <c r="F246" i="45"/>
  <c r="B246" i="45"/>
  <c r="J245" i="45"/>
  <c r="F245" i="45"/>
  <c r="B245" i="45"/>
  <c r="J244" i="45"/>
  <c r="F244" i="45"/>
  <c r="B244" i="45"/>
  <c r="B240" i="45"/>
  <c r="B239" i="45"/>
  <c r="B238" i="45"/>
  <c r="B237" i="45"/>
  <c r="B236" i="45"/>
  <c r="B235" i="45"/>
  <c r="B234" i="45"/>
  <c r="N218" i="45"/>
  <c r="J218" i="45"/>
  <c r="N217" i="45"/>
  <c r="J217" i="45"/>
  <c r="N216" i="45"/>
  <c r="J216" i="45"/>
  <c r="F216" i="45"/>
  <c r="N215" i="45"/>
  <c r="J215" i="45"/>
  <c r="F215" i="45"/>
  <c r="N214" i="45"/>
  <c r="J214" i="45"/>
  <c r="F214" i="45"/>
  <c r="N213" i="45"/>
  <c r="J213" i="45"/>
  <c r="F213" i="45"/>
  <c r="N212" i="45"/>
  <c r="J212" i="45"/>
  <c r="F212" i="45"/>
  <c r="N211" i="45"/>
  <c r="J211" i="45"/>
  <c r="F211" i="45"/>
  <c r="N210" i="45"/>
  <c r="J210" i="45"/>
  <c r="F210" i="45"/>
  <c r="N209" i="45"/>
  <c r="J209" i="45"/>
  <c r="F209" i="45"/>
  <c r="N208" i="45"/>
  <c r="J208" i="45"/>
  <c r="F208" i="45"/>
  <c r="N207" i="45"/>
  <c r="J207" i="45"/>
  <c r="F207" i="45"/>
  <c r="N206" i="45"/>
  <c r="J206" i="45"/>
  <c r="F206" i="45"/>
  <c r="N205" i="45"/>
  <c r="J205" i="45"/>
  <c r="F205" i="45"/>
  <c r="N204" i="45"/>
  <c r="J204" i="45"/>
  <c r="F204" i="45"/>
  <c r="N203" i="45"/>
  <c r="J203" i="45"/>
  <c r="F203" i="45"/>
  <c r="N202" i="45"/>
  <c r="J202" i="45"/>
  <c r="F202" i="45"/>
  <c r="N201" i="45"/>
  <c r="J201" i="45"/>
  <c r="F201" i="45"/>
  <c r="F196" i="45"/>
  <c r="F195" i="45"/>
  <c r="F194" i="45"/>
  <c r="B194" i="45"/>
  <c r="F193" i="45"/>
  <c r="B193" i="45"/>
  <c r="F192" i="45"/>
  <c r="B192" i="45"/>
  <c r="F191" i="45"/>
  <c r="B191" i="45"/>
  <c r="F190" i="45"/>
  <c r="B190" i="45"/>
  <c r="F186" i="45"/>
  <c r="F185" i="45"/>
  <c r="F184" i="45"/>
  <c r="F183" i="45"/>
  <c r="F181" i="45"/>
  <c r="F180" i="45"/>
  <c r="F179" i="45"/>
  <c r="B179" i="45"/>
  <c r="F178" i="45"/>
  <c r="B178" i="45"/>
  <c r="F177" i="45"/>
  <c r="B177" i="45"/>
  <c r="F173" i="45"/>
  <c r="F172" i="45"/>
  <c r="B172" i="45"/>
  <c r="F171" i="45"/>
  <c r="B171" i="45"/>
  <c r="F170" i="45"/>
  <c r="B170" i="45"/>
  <c r="F166" i="45"/>
  <c r="F165" i="45"/>
  <c r="F164" i="45"/>
  <c r="B164" i="45"/>
  <c r="F163" i="45"/>
  <c r="B163" i="45"/>
  <c r="F162" i="45"/>
  <c r="B162" i="45"/>
  <c r="J158" i="45"/>
  <c r="J157" i="45"/>
  <c r="F157" i="45"/>
  <c r="F156" i="45"/>
  <c r="B156" i="45"/>
  <c r="J155" i="45"/>
  <c r="F155" i="45"/>
  <c r="B155" i="45"/>
  <c r="J154" i="45"/>
  <c r="F154" i="45"/>
  <c r="B154" i="45"/>
  <c r="J153" i="45"/>
  <c r="F153" i="45"/>
  <c r="B153" i="45"/>
  <c r="F147" i="45"/>
  <c r="J146" i="45"/>
  <c r="B146" i="45"/>
  <c r="J145" i="45"/>
  <c r="F145" i="45"/>
  <c r="B145" i="45"/>
  <c r="J144" i="45"/>
  <c r="F144" i="45"/>
  <c r="B144" i="45"/>
  <c r="J143" i="45"/>
  <c r="J142" i="45"/>
  <c r="F142" i="45"/>
  <c r="B142" i="45"/>
  <c r="F141" i="45"/>
  <c r="B141" i="45"/>
  <c r="J140" i="45"/>
  <c r="B140" i="45"/>
  <c r="F139" i="45"/>
  <c r="B139" i="45"/>
  <c r="B135" i="45"/>
  <c r="B133" i="45"/>
  <c r="B132" i="45"/>
  <c r="B131" i="45"/>
  <c r="B130" i="45"/>
  <c r="B120" i="45"/>
  <c r="B119" i="45"/>
  <c r="B118" i="45"/>
  <c r="B117" i="45"/>
  <c r="B116" i="45"/>
  <c r="B115" i="45"/>
  <c r="B114" i="45"/>
  <c r="B113" i="45"/>
  <c r="B112" i="45"/>
  <c r="B111" i="45"/>
  <c r="B110" i="45"/>
  <c r="B109" i="45"/>
  <c r="B108" i="45"/>
  <c r="B107" i="45"/>
  <c r="B106" i="45"/>
  <c r="B105" i="45"/>
  <c r="J95" i="45"/>
  <c r="J94" i="45"/>
  <c r="J93" i="45"/>
  <c r="J92" i="45"/>
  <c r="J91" i="45"/>
  <c r="J90" i="45"/>
  <c r="J89" i="45"/>
  <c r="F89" i="45"/>
  <c r="J88" i="45"/>
  <c r="F88" i="45"/>
  <c r="B88" i="45"/>
  <c r="J87" i="45"/>
  <c r="F87" i="45"/>
  <c r="B87" i="45"/>
  <c r="F83" i="45"/>
  <c r="B83" i="45"/>
  <c r="F82" i="45"/>
  <c r="B82" i="45"/>
  <c r="F80" i="45"/>
  <c r="B80" i="45"/>
  <c r="F79" i="45"/>
  <c r="B79" i="45"/>
  <c r="F78" i="45"/>
  <c r="B78" i="45"/>
  <c r="F74" i="45"/>
  <c r="B74" i="45"/>
  <c r="F73" i="45"/>
  <c r="B73" i="45"/>
  <c r="F71" i="45"/>
  <c r="B71" i="45"/>
  <c r="F70" i="45"/>
  <c r="J66" i="45"/>
  <c r="J65" i="45"/>
  <c r="J63" i="45"/>
  <c r="F63" i="45"/>
  <c r="B63" i="45"/>
  <c r="J62" i="45"/>
  <c r="F62" i="45"/>
  <c r="B62" i="45"/>
  <c r="J61" i="45"/>
  <c r="F61" i="45"/>
  <c r="B61" i="45"/>
  <c r="B57" i="45"/>
  <c r="B56" i="45"/>
  <c r="B55" i="45"/>
  <c r="B54" i="45"/>
  <c r="B53" i="45"/>
  <c r="B52" i="45"/>
  <c r="B50" i="45"/>
  <c r="B49" i="45"/>
  <c r="B45" i="45"/>
  <c r="B44" i="45"/>
  <c r="B43" i="45"/>
  <c r="B41" i="45"/>
  <c r="B40" i="45"/>
  <c r="B39" i="45"/>
  <c r="B38" i="45"/>
  <c r="B37" i="45"/>
  <c r="B36" i="45"/>
  <c r="B35" i="45"/>
  <c r="B34" i="45"/>
  <c r="B33" i="45"/>
  <c r="B14" i="45"/>
  <c r="B13" i="45"/>
  <c r="B12" i="45"/>
  <c r="B11" i="45"/>
  <c r="B9" i="45"/>
  <c r="B8" i="45"/>
  <c r="B7" i="45"/>
  <c r="B6" i="45"/>
  <c r="B5" i="45"/>
  <c r="B587" i="2" l="1"/>
  <c r="D587" i="2"/>
  <c r="B588" i="2"/>
  <c r="D588" i="2"/>
  <c r="B589" i="2"/>
  <c r="D589" i="2"/>
  <c r="B590" i="2"/>
  <c r="D590" i="2"/>
  <c r="B591" i="2"/>
  <c r="D591" i="2"/>
  <c r="B592" i="2"/>
  <c r="D592" i="2"/>
  <c r="B593" i="2"/>
  <c r="D593" i="2"/>
  <c r="B594" i="2"/>
  <c r="D594" i="2"/>
  <c r="B595" i="2"/>
  <c r="D595" i="2"/>
  <c r="B596" i="2"/>
  <c r="D596" i="2"/>
  <c r="B597" i="2"/>
  <c r="D597" i="2"/>
  <c r="B598" i="2"/>
  <c r="D598" i="2"/>
  <c r="B599" i="2"/>
  <c r="D599" i="2"/>
  <c r="B600" i="2"/>
  <c r="D600" i="2"/>
  <c r="B601" i="2"/>
  <c r="D601" i="2"/>
  <c r="D586" i="2"/>
  <c r="B586" i="2"/>
  <c r="D640" i="2"/>
  <c r="D616" i="2"/>
  <c r="H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D579" i="2"/>
  <c r="D566" i="2"/>
  <c r="D606" i="2" l="1"/>
  <c r="D602" i="2"/>
  <c r="D603" i="2" s="1"/>
  <c r="D619" i="2" s="1"/>
  <c r="D642" i="2" s="1"/>
  <c r="D607" i="2"/>
  <c r="D608" i="2"/>
  <c r="D609" i="2"/>
  <c r="D610" i="2" l="1"/>
  <c r="E476" i="2"/>
  <c r="E477" i="2"/>
  <c r="E478" i="2"/>
  <c r="E479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363" i="2"/>
  <c r="D363" i="2"/>
  <c r="E364" i="2"/>
  <c r="D364" i="2"/>
  <c r="E365" i="2"/>
  <c r="E366" i="2"/>
  <c r="E367" i="2"/>
  <c r="E368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E369" i="2"/>
  <c r="E370" i="2"/>
  <c r="E371" i="2"/>
  <c r="E372" i="2"/>
  <c r="E373" i="2"/>
  <c r="E374" i="2"/>
  <c r="E375" i="2"/>
  <c r="E376" i="2"/>
  <c r="E377" i="2"/>
  <c r="E378" i="2"/>
  <c r="D530" i="2"/>
  <c r="D506" i="2"/>
  <c r="H492" i="2"/>
  <c r="D469" i="2"/>
  <c r="D456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D42" i="2"/>
  <c r="D149" i="2"/>
  <c r="D252" i="2"/>
  <c r="D356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63" i="2"/>
  <c r="D417" i="2"/>
  <c r="D393" i="2"/>
  <c r="H379" i="2"/>
  <c r="D343" i="2"/>
  <c r="D304" i="2"/>
  <c r="D281" i="2"/>
  <c r="H275" i="2"/>
  <c r="D274" i="2"/>
  <c r="B274" i="2"/>
  <c r="D273" i="2"/>
  <c r="B273" i="2"/>
  <c r="D272" i="2"/>
  <c r="B272" i="2"/>
  <c r="D271" i="2"/>
  <c r="B271" i="2"/>
  <c r="D270" i="2"/>
  <c r="B270" i="2"/>
  <c r="D269" i="2"/>
  <c r="B269" i="2"/>
  <c r="D268" i="2"/>
  <c r="B268" i="2"/>
  <c r="D267" i="2"/>
  <c r="B267" i="2"/>
  <c r="D266" i="2"/>
  <c r="B266" i="2"/>
  <c r="D265" i="2"/>
  <c r="B265" i="2"/>
  <c r="D264" i="2"/>
  <c r="B264" i="2"/>
  <c r="D263" i="2"/>
  <c r="B263" i="2"/>
  <c r="D262" i="2"/>
  <c r="B262" i="2"/>
  <c r="D261" i="2"/>
  <c r="B261" i="2"/>
  <c r="D260" i="2"/>
  <c r="B260" i="2"/>
  <c r="D259" i="2"/>
  <c r="D275" i="2" s="1"/>
  <c r="D276" i="2" s="1"/>
  <c r="B259" i="2"/>
  <c r="D239" i="2"/>
  <c r="D33" i="2"/>
  <c r="D136" i="2"/>
  <c r="D202" i="2"/>
  <c r="D178" i="2"/>
  <c r="H172" i="2"/>
  <c r="D171" i="2"/>
  <c r="B171" i="2"/>
  <c r="D170" i="2"/>
  <c r="B170" i="2"/>
  <c r="D169" i="2"/>
  <c r="B169" i="2"/>
  <c r="D168" i="2"/>
  <c r="B168" i="2"/>
  <c r="D167" i="2"/>
  <c r="B167" i="2"/>
  <c r="D166" i="2"/>
  <c r="B166" i="2"/>
  <c r="D165" i="2"/>
  <c r="B165" i="2"/>
  <c r="D164" i="2"/>
  <c r="B164" i="2"/>
  <c r="D163" i="2"/>
  <c r="B163" i="2"/>
  <c r="D162" i="2"/>
  <c r="B162" i="2"/>
  <c r="D161" i="2"/>
  <c r="B161" i="2"/>
  <c r="D160" i="2"/>
  <c r="B160" i="2"/>
  <c r="D159" i="2"/>
  <c r="B159" i="2"/>
  <c r="D158" i="2"/>
  <c r="B158" i="2"/>
  <c r="D157" i="2"/>
  <c r="B157" i="2"/>
  <c r="D156" i="2"/>
  <c r="B156" i="2"/>
  <c r="D94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48" i="2"/>
  <c r="B48" i="2"/>
  <c r="H64" i="2"/>
  <c r="D70" i="2"/>
  <c r="D386" i="2" l="1"/>
  <c r="D496" i="2"/>
  <c r="D64" i="2"/>
  <c r="D65" i="2" s="1"/>
  <c r="D73" i="2" s="1"/>
  <c r="D96" i="2" s="1"/>
  <c r="D172" i="2"/>
  <c r="D173" i="2" s="1"/>
  <c r="D181" i="2" s="1"/>
  <c r="D204" i="2" s="1"/>
  <c r="D385" i="2"/>
  <c r="D379" i="2"/>
  <c r="D380" i="2" s="1"/>
  <c r="D396" i="2" s="1"/>
  <c r="D419" i="2" s="1"/>
  <c r="D492" i="2"/>
  <c r="D493" i="2" s="1"/>
  <c r="D499" i="2"/>
  <c r="D383" i="2"/>
  <c r="D284" i="2"/>
  <c r="D306" i="2" s="1"/>
  <c r="D509" i="2"/>
  <c r="D532" i="2" s="1"/>
  <c r="D384" i="2"/>
  <c r="D498" i="2"/>
  <c r="D497" i="2"/>
  <c r="D500" i="2" l="1"/>
  <c r="D387" i="2"/>
</calcChain>
</file>

<file path=xl/sharedStrings.xml><?xml version="1.0" encoding="utf-8"?>
<sst xmlns="http://schemas.openxmlformats.org/spreadsheetml/2006/main" count="1996" uniqueCount="563">
  <si>
    <t>Course code</t>
  </si>
  <si>
    <t>Course name</t>
  </si>
  <si>
    <t>EC</t>
  </si>
  <si>
    <t>sum:</t>
  </si>
  <si>
    <t>E-mail:</t>
  </si>
  <si>
    <t>Phone number:</t>
  </si>
  <si>
    <t/>
  </si>
  <si>
    <t>Laat deze kolom leeg, behalve de jaartallen en de scheidingswoorden</t>
  </si>
  <si>
    <t>#scheidingswoordmeteenhashtag</t>
  </si>
  <si>
    <t>Cohort</t>
  </si>
  <si>
    <t>Then click on the 'Generate programme approval request form' button</t>
  </si>
  <si>
    <t>2015</t>
  </si>
  <si>
    <t>NWI-MOL040</t>
  </si>
  <si>
    <t>NWI-FCEM02B</t>
  </si>
  <si>
    <t>CEM: schrijfvaardigheid</t>
  </si>
  <si>
    <t>Totaal:</t>
  </si>
  <si>
    <t>Name:</t>
  </si>
  <si>
    <t xml:space="preserve">Student number: </t>
  </si>
  <si>
    <t>NWI-FFIL101</t>
  </si>
  <si>
    <t>NWI-BB017C</t>
  </si>
  <si>
    <t>Selection per Cohort</t>
  </si>
  <si>
    <t>Cohorts</t>
  </si>
  <si>
    <t>Adjustments to the minor</t>
  </si>
  <si>
    <t>Minor:</t>
  </si>
  <si>
    <t>Please select your minor here</t>
  </si>
  <si>
    <t>Global Challenges, Science and Entrepreneurship</t>
  </si>
  <si>
    <t>NWI-IPC014</t>
  </si>
  <si>
    <t>NWI-IPC015</t>
  </si>
  <si>
    <t>NWI-IPC002</t>
  </si>
  <si>
    <t>NWI-IBC019</t>
  </si>
  <si>
    <t>NWI-IBC027</t>
  </si>
  <si>
    <t>Nanoscience</t>
  </si>
  <si>
    <t>Minor</t>
  </si>
  <si>
    <t>Biology</t>
  </si>
  <si>
    <t>Environmental Chemistry</t>
  </si>
  <si>
    <t>Other</t>
  </si>
  <si>
    <t>Mathematics (Mol. Sciences)</t>
  </si>
  <si>
    <t>Course Code</t>
  </si>
  <si>
    <t>Course Name</t>
  </si>
  <si>
    <t>2013</t>
  </si>
  <si>
    <t>Adjustments to these Courses</t>
  </si>
  <si>
    <t>Prospectus</t>
  </si>
  <si>
    <t>Select your prospectus</t>
  </si>
  <si>
    <t>2014</t>
  </si>
  <si>
    <t>Yes</t>
  </si>
  <si>
    <t>#Eindzinmeteenhastag</t>
  </si>
  <si>
    <t>Choose one of the following</t>
  </si>
  <si>
    <t>No</t>
  </si>
  <si>
    <t>Taken? (Y/N)</t>
  </si>
  <si>
    <t>Prospectus Year:</t>
  </si>
  <si>
    <t>Minor name</t>
  </si>
  <si>
    <t>Minimum EC</t>
  </si>
  <si>
    <t>Maximum EC</t>
  </si>
  <si>
    <t>Course Chosen (If Applicable)</t>
  </si>
  <si>
    <t>Advanced Physics</t>
  </si>
  <si>
    <t>2015, 2016</t>
  </si>
  <si>
    <t>NWI-NB017B</t>
  </si>
  <si>
    <t>NWI-NB032B</t>
  </si>
  <si>
    <t>NWI-NB029B</t>
  </si>
  <si>
    <t>NWI-NB031B</t>
  </si>
  <si>
    <t>NWI-NB020B</t>
  </si>
  <si>
    <t>NWI-NB027B</t>
  </si>
  <si>
    <t>NWI-NB028C</t>
  </si>
  <si>
    <t>NWI-NB067C</t>
  </si>
  <si>
    <t>NWI-NB034B</t>
  </si>
  <si>
    <t>Artificial Intelligence</t>
  </si>
  <si>
    <t>2016</t>
  </si>
  <si>
    <t>SOW-BKI212a</t>
  </si>
  <si>
    <t>Artificiële Intelligentie: Search…</t>
  </si>
  <si>
    <t>SOW-BKI247</t>
  </si>
  <si>
    <t>Cognitive Robotics</t>
  </si>
  <si>
    <t>SOW-BKI242</t>
  </si>
  <si>
    <t>Robotica 2</t>
  </si>
  <si>
    <t>SOW-BKI329</t>
  </si>
  <si>
    <t>Representation and interaction</t>
  </si>
  <si>
    <t>SOW-BKI312</t>
  </si>
  <si>
    <t>Kennisrepresentatie en redeneren</t>
  </si>
  <si>
    <t>NWI-NB012B</t>
  </si>
  <si>
    <t>NWI-NB058C</t>
  </si>
  <si>
    <t>NWI-NB057B</t>
  </si>
  <si>
    <t>NWI-NB059C</t>
  </si>
  <si>
    <t>NWI-NB060A</t>
  </si>
  <si>
    <t>NWI-NB070B</t>
  </si>
  <si>
    <t>NWI-NB930B</t>
  </si>
  <si>
    <t>Choose one out of the following</t>
  </si>
  <si>
    <t>NWI-NB066B</t>
  </si>
  <si>
    <t>NWI-BB005B</t>
  </si>
  <si>
    <t>NWI-BB069B</t>
  </si>
  <si>
    <t>NWI-BB019B</t>
  </si>
  <si>
    <t>NWI-BB039C</t>
  </si>
  <si>
    <t>NWI-BB021B</t>
  </si>
  <si>
    <t>NWI-MB021B</t>
  </si>
  <si>
    <t>NWI-BB084B</t>
  </si>
  <si>
    <t>NWI-BB051B</t>
  </si>
  <si>
    <t>Bioorganic Chemistry</t>
  </si>
  <si>
    <t>NWI-MOL101</t>
  </si>
  <si>
    <t>NWI-MOL053</t>
  </si>
  <si>
    <t>NWI-MOL094</t>
  </si>
  <si>
    <t>NWI-MOL078</t>
  </si>
  <si>
    <t>Business Administration</t>
  </si>
  <si>
    <t>MAN-BCU007</t>
  </si>
  <si>
    <t>MAN-BCU321</t>
  </si>
  <si>
    <t>MAN-BCU244A</t>
  </si>
  <si>
    <t>MAN-BCU019B</t>
  </si>
  <si>
    <t>Computing Science (Bio, Chem and MLS)</t>
  </si>
  <si>
    <t>NWI-IPC021</t>
  </si>
  <si>
    <t>Computing Science (Phys &amp; Math)</t>
  </si>
  <si>
    <t>NWI-IBC029</t>
  </si>
  <si>
    <t>NWI-IBI008</t>
  </si>
  <si>
    <t>Economics</t>
  </si>
  <si>
    <t>Choose at least 18 EC out of the following</t>
  </si>
  <si>
    <t>MAN-BCU168</t>
  </si>
  <si>
    <t>MAN-BCU2005</t>
  </si>
  <si>
    <t>MAN-BCU2020</t>
  </si>
  <si>
    <t>MAN-BCU2016</t>
  </si>
  <si>
    <t>MAN-BCU302</t>
  </si>
  <si>
    <t>MAN-BCU2037</t>
  </si>
  <si>
    <t>MAN-BCU3022</t>
  </si>
  <si>
    <t>MAN-BPRA347</t>
  </si>
  <si>
    <t>MAN-BCU163</t>
  </si>
  <si>
    <t>MAN-BCU2004</t>
  </si>
  <si>
    <t>MAN-BPRA203</t>
  </si>
  <si>
    <t>MAN-BCU2039</t>
  </si>
  <si>
    <t>MAN-BPRO208</t>
  </si>
  <si>
    <t>MAN-BCU3016</t>
  </si>
  <si>
    <t>MAN-BCU3019</t>
  </si>
  <si>
    <t>MAN-BCU328</t>
  </si>
  <si>
    <t>Education</t>
  </si>
  <si>
    <t>Education Minor</t>
  </si>
  <si>
    <t>NWI-NB046C</t>
  </si>
  <si>
    <t>NWI-MOL091</t>
  </si>
  <si>
    <t>NWI-MOL054</t>
  </si>
  <si>
    <t>NWI-MOL065</t>
  </si>
  <si>
    <t>NWI-GCSE004</t>
  </si>
  <si>
    <t>NWI-GCSE007</t>
  </si>
  <si>
    <t>NWI-GCSE002</t>
  </si>
  <si>
    <t>Choose three of the following</t>
  </si>
  <si>
    <t>NWI-GCSE001</t>
  </si>
  <si>
    <t>NWI-BB079C</t>
  </si>
  <si>
    <t>NWI-GCSE009</t>
  </si>
  <si>
    <t>Energy and Sustainability</t>
  </si>
  <si>
    <t>MAN-BKV55</t>
  </si>
  <si>
    <t>MAN-BCU2029</t>
  </si>
  <si>
    <t>NWI-GCSE008</t>
  </si>
  <si>
    <t>MAN-BCU2024</t>
  </si>
  <si>
    <t>Globalising Worlds</t>
  </si>
  <si>
    <t>Student Company</t>
  </si>
  <si>
    <t>Information Sciences</t>
  </si>
  <si>
    <t>NWI-IPC019</t>
  </si>
  <si>
    <t>NWI-IPC023</t>
  </si>
  <si>
    <t>NWI-IBK008</t>
  </si>
  <si>
    <t>NWI-IBC020</t>
  </si>
  <si>
    <t>Mathematics (Bio)</t>
  </si>
  <si>
    <t>NWI-WP020</t>
  </si>
  <si>
    <t>NWI-NP003B</t>
  </si>
  <si>
    <t>NWI-NP004B</t>
  </si>
  <si>
    <t>NWI-NP009C</t>
  </si>
  <si>
    <t>NWI-NP010B</t>
  </si>
  <si>
    <t>Mathematics (Comp. Science)</t>
  </si>
  <si>
    <t>NWI-WP021</t>
  </si>
  <si>
    <t>NWI-WP022</t>
  </si>
  <si>
    <t>NWI-WP001B</t>
  </si>
  <si>
    <t>NWI-WB007B</t>
  </si>
  <si>
    <t>NWI-NP011B</t>
  </si>
  <si>
    <t>At least one of the following</t>
  </si>
  <si>
    <t>NWI-NP012B</t>
  </si>
  <si>
    <t>NWI-NB019C</t>
  </si>
  <si>
    <t>Mathematics (Physics)</t>
  </si>
  <si>
    <t>NWI-NP022B</t>
  </si>
  <si>
    <t>NWI-WB001B</t>
  </si>
  <si>
    <t>NWI-WB012B</t>
  </si>
  <si>
    <t>Medical Biology</t>
  </si>
  <si>
    <t>Choose at least 30 EC out of the following</t>
  </si>
  <si>
    <t>NWI-BB023B</t>
  </si>
  <si>
    <t>NWI-BB081B</t>
  </si>
  <si>
    <t>NWI-BB048B</t>
  </si>
  <si>
    <t>NWI-BB064B</t>
  </si>
  <si>
    <t>NWI-BB085B</t>
  </si>
  <si>
    <t>NWI-BB047C</t>
  </si>
  <si>
    <t>NWI-BB025B</t>
  </si>
  <si>
    <t>NWI-BB034B</t>
  </si>
  <si>
    <t>NWI-BB080B</t>
  </si>
  <si>
    <t>NWI-BB063B</t>
  </si>
  <si>
    <t>NWI-BB065B</t>
  </si>
  <si>
    <t>NWI-MOL104</t>
  </si>
  <si>
    <t>NWI-BB031B</t>
  </si>
  <si>
    <t>MED-MIN16</t>
  </si>
  <si>
    <t>Medicine</t>
  </si>
  <si>
    <t>N/A</t>
  </si>
  <si>
    <t>NWI-NP007B</t>
  </si>
  <si>
    <t>NWI-MOL039</t>
  </si>
  <si>
    <t>NWI-NP027B</t>
  </si>
  <si>
    <t>NWI-NB044B</t>
  </si>
  <si>
    <t>NWI-NB071B</t>
  </si>
  <si>
    <t>NWI-NB072B</t>
  </si>
  <si>
    <t>Neuroscience (Math)</t>
  </si>
  <si>
    <t>NWI-NB074B</t>
  </si>
  <si>
    <t>NWI-NB062B</t>
  </si>
  <si>
    <t>NWI-NB036B</t>
  </si>
  <si>
    <t>NWI-NB068B</t>
  </si>
  <si>
    <t>NWI-NP008C</t>
  </si>
  <si>
    <t>NWI-MOL017</t>
  </si>
  <si>
    <t>NWI-NP019B</t>
  </si>
  <si>
    <t>NWI-MOL014</t>
  </si>
  <si>
    <t>Neuroscience (Physics and Science)</t>
  </si>
  <si>
    <t>Physical Organic Chemistry</t>
  </si>
  <si>
    <t>NWI-MOL057</t>
  </si>
  <si>
    <t>NWI-MOL071</t>
  </si>
  <si>
    <t>Physics</t>
  </si>
  <si>
    <t>NWI-NP001B</t>
  </si>
  <si>
    <t>NWI-NP002B</t>
  </si>
  <si>
    <t>NWI-NP021D</t>
  </si>
  <si>
    <t>NWI-NB006B</t>
  </si>
  <si>
    <t>NWI-NB001B</t>
  </si>
  <si>
    <t>NWI-NB013B</t>
  </si>
  <si>
    <t>NWI-NP020B</t>
  </si>
  <si>
    <t>NWI-NB014B</t>
  </si>
  <si>
    <t>Sustainable Chemistry</t>
  </si>
  <si>
    <t>Name of your minor:</t>
  </si>
  <si>
    <t>Duurzaam Ondernemen</t>
  </si>
  <si>
    <t>NWI-GCSE003</t>
  </si>
  <si>
    <t>NWI-I00036</t>
  </si>
  <si>
    <t>NWI-MOL079</t>
  </si>
  <si>
    <t>NWI-MB024C</t>
  </si>
  <si>
    <t>Informatiekunde voor Informatica (2014)</t>
  </si>
  <si>
    <t>MAN-BCU019</t>
  </si>
  <si>
    <t>Bedrijfskunde voor Informatica (2014)</t>
  </si>
  <si>
    <t>NWI-WB006C</t>
  </si>
  <si>
    <t>NWI-MOL058</t>
  </si>
  <si>
    <t>NWI-WB064B</t>
  </si>
  <si>
    <t>NWI-MOL074</t>
  </si>
  <si>
    <t>NWI-NM102</t>
  </si>
  <si>
    <t>NWI-NB033C</t>
  </si>
  <si>
    <t>NWI-WB049B</t>
  </si>
  <si>
    <t>Biologie (Math) (2014)</t>
  </si>
  <si>
    <t>NWI-BP007B</t>
  </si>
  <si>
    <t>NWI-IBC026</t>
  </si>
  <si>
    <t>NWI-WB009B</t>
  </si>
  <si>
    <t>NWI-IBC030</t>
  </si>
  <si>
    <t>NWI-IBC003</t>
  </si>
  <si>
    <t>NWI-IBC028</t>
  </si>
  <si>
    <t>Taken?</t>
  </si>
  <si>
    <t>If extended, please edit the amount of EC here:</t>
  </si>
  <si>
    <t>Total EC:</t>
  </si>
  <si>
    <t>Intervention Methodology</t>
  </si>
  <si>
    <t>Kennismanagement</t>
  </si>
  <si>
    <r>
      <t>After filling in this form, mail it to</t>
    </r>
    <r>
      <rPr>
        <b/>
        <i/>
        <sz val="12"/>
        <color rgb="FFFF0000"/>
        <rFont val="Calibri"/>
        <family val="2"/>
      </rPr>
      <t xml:space="preserve"> fnwi.examcies@science.ru.nl</t>
    </r>
  </si>
  <si>
    <t>#pagebreakinhetwit</t>
  </si>
  <si>
    <t>Please select your specialization and starting year of the Bachelor's programme</t>
  </si>
  <si>
    <t>Cohort:</t>
  </si>
  <si>
    <t>Inleiding Filosofie en Ethiek</t>
  </si>
  <si>
    <t>Administrator tools</t>
  </si>
  <si>
    <t>Analyse 2</t>
  </si>
  <si>
    <t>Inleiding Statistiek</t>
  </si>
  <si>
    <t>Complexe Functies</t>
  </si>
  <si>
    <t>Inl.Filosofie&amp;Ethiek (Wis&amp;Nat)</t>
  </si>
  <si>
    <t>NWI-WB003E</t>
  </si>
  <si>
    <t>Gewone Differentiaalvergelijkingen</t>
  </si>
  <si>
    <t>NWI-NM066C</t>
  </si>
  <si>
    <t>Numerical Methods</t>
  </si>
  <si>
    <t>NWI-WB027B</t>
  </si>
  <si>
    <t>Topologie</t>
  </si>
  <si>
    <t>NWI-WB025C</t>
  </si>
  <si>
    <t>Modellenpracticum</t>
  </si>
  <si>
    <t>NWI-WB071B</t>
  </si>
  <si>
    <t xml:space="preserve">Portfolio Bachelor </t>
  </si>
  <si>
    <t>Choose one of each colour-coded options</t>
  </si>
  <si>
    <t>Groepentheorie 1 + Groepentheorie 2</t>
  </si>
  <si>
    <t>Symmetrie</t>
  </si>
  <si>
    <t>NWI-WB004B</t>
  </si>
  <si>
    <t>Discrete Wiskunde</t>
  </si>
  <si>
    <t>Discrete Wiskunde 1 + 2</t>
  </si>
  <si>
    <t>NWI-WB010B + 011D</t>
  </si>
  <si>
    <t>NWI-WB011C</t>
  </si>
  <si>
    <t>Logica</t>
  </si>
  <si>
    <t>Logica 1</t>
  </si>
  <si>
    <t>Ringen en Lichamen</t>
  </si>
  <si>
    <t>Ringen en Lichamen 1 + 2</t>
  </si>
  <si>
    <t>NWI-WB012C + 013B</t>
  </si>
  <si>
    <t>NWI-WB008B</t>
  </si>
  <si>
    <t>NWI-WB008C</t>
  </si>
  <si>
    <t>NWI-WP021 + 022</t>
  </si>
  <si>
    <t>Other Electives</t>
  </si>
  <si>
    <t>The next table contains your elective space. On the left hand side you will find the option to select your Mathematics courses.</t>
  </si>
  <si>
    <t>Your elective courses outside of Mathematics and your minor will have to be typed in the right hand side</t>
  </si>
  <si>
    <t>Total EC of mathematics electives:</t>
  </si>
  <si>
    <t>Total EC of electives outside of mathematics:</t>
  </si>
  <si>
    <t>Total EC of Electives:</t>
  </si>
  <si>
    <t>Applied Stochastics</t>
  </si>
  <si>
    <t>Axiomatische Verzamelingenleer</t>
  </si>
  <si>
    <t>NWI-WB066C</t>
  </si>
  <si>
    <t>C(X)</t>
  </si>
  <si>
    <t>NWI-WB084</t>
  </si>
  <si>
    <t>Categorieën en Homologische Algebra</t>
  </si>
  <si>
    <t>NWI-WB083</t>
  </si>
  <si>
    <t>Convexiteit</t>
  </si>
  <si>
    <t>NWI-WB075B</t>
  </si>
  <si>
    <t>Cryptografie</t>
  </si>
  <si>
    <t>NWI-WB052B</t>
  </si>
  <si>
    <t>Differentiaalmeetkunde</t>
  </si>
  <si>
    <t>NWI-WB045C</t>
  </si>
  <si>
    <t>Differential Geometry</t>
  </si>
  <si>
    <t>NWI-WB079B</t>
  </si>
  <si>
    <t>Differential Topology</t>
  </si>
  <si>
    <t>Financiële Wiskunde</t>
  </si>
  <si>
    <t>NWI-WB085</t>
  </si>
  <si>
    <t>Galoistheorie</t>
  </si>
  <si>
    <t>NWI-WB068B</t>
  </si>
  <si>
    <t>Geschiedenis van de Wiskunde</t>
  </si>
  <si>
    <t>NWI-WB019C</t>
  </si>
  <si>
    <t>Getaltheorie</t>
  </si>
  <si>
    <t>NWI-WB089</t>
  </si>
  <si>
    <t>Groepen en Representaties</t>
  </si>
  <si>
    <t>NWI-WB086</t>
  </si>
  <si>
    <t>Inleiding Fouriertheorie</t>
  </si>
  <si>
    <t>Inleiding Functionaal Analyse</t>
  </si>
  <si>
    <t>NWI-WB062B</t>
  </si>
  <si>
    <t>Inleiding Mathematische Fysica</t>
  </si>
  <si>
    <t>NWI-WB082</t>
  </si>
  <si>
    <t xml:space="preserve">NWI-WB087
</t>
  </si>
  <si>
    <t>Introduction to Partial Diff. Equations</t>
  </si>
  <si>
    <t>NWI-WB046B</t>
  </si>
  <si>
    <t>Intuïtionistische Wiskunde</t>
  </si>
  <si>
    <t>NWI-WB070B</t>
  </si>
  <si>
    <t>Krommen en Oppervlakken</t>
  </si>
  <si>
    <t>NWI-WB061B</t>
  </si>
  <si>
    <t>Logica 2</t>
  </si>
  <si>
    <t>Maat en Integraal</t>
  </si>
  <si>
    <t>NWI-WB023B</t>
  </si>
  <si>
    <t>Maattheorie</t>
  </si>
  <si>
    <t>NWI-WB088</t>
  </si>
  <si>
    <t>Manifolds</t>
  </si>
  <si>
    <t>NWI-WB079C</t>
  </si>
  <si>
    <t>Model Theory</t>
  </si>
  <si>
    <t>NWI-WM036B</t>
  </si>
  <si>
    <t>Modular Forms</t>
  </si>
  <si>
    <t>NWI-WB091</t>
  </si>
  <si>
    <t>Portfolio Theory</t>
  </si>
  <si>
    <t>NWI-WB090</t>
  </si>
  <si>
    <t>Programmeren 2</t>
  </si>
  <si>
    <t>NWI-NB021C</t>
  </si>
  <si>
    <t>Representaties van eindige groepen</t>
  </si>
  <si>
    <t>NWI-WB076B</t>
  </si>
  <si>
    <t>Voortgezette Kansrekening</t>
  </si>
  <si>
    <t>Voortgezette Statistiek</t>
  </si>
  <si>
    <t>NWI-WB041B</t>
  </si>
  <si>
    <t>Choose your Mathematical Electives</t>
  </si>
  <si>
    <t>Bachelor's Thesis (NWI-WB035C)</t>
  </si>
  <si>
    <t>Extra Curricular Courses (extra above 120 ects)</t>
  </si>
  <si>
    <t>Total EC including Extra Curricular Courses:</t>
  </si>
  <si>
    <t>Request form for approval of your Bachelor's Programme: Mathematics Cohort 2013</t>
  </si>
  <si>
    <t>Request form for approval of your Bachelor's Programme: Mathematics Cohort 2014</t>
  </si>
  <si>
    <t>NWI-WB008B + 009B</t>
  </si>
  <si>
    <t>Logica 1 + 2</t>
  </si>
  <si>
    <t>Request form for approval of your Bachelor's Programme: Mathematics Cohort 2015</t>
  </si>
  <si>
    <t xml:space="preserve">Logica </t>
  </si>
  <si>
    <t>Request form for approval of your Bachelor's Programme: Mathematics Cohort 2016</t>
  </si>
  <si>
    <t>Gew. Differentiaalvergelijkingen</t>
  </si>
  <si>
    <t>Numerieke Methoden</t>
  </si>
  <si>
    <t>Schrijfvaardigheid</t>
  </si>
  <si>
    <t>Request for approval of Bachelor's Programme Mathematics</t>
  </si>
  <si>
    <t>No Minor</t>
  </si>
  <si>
    <t>2016,2015</t>
  </si>
  <si>
    <t>NWI-IPI005</t>
  </si>
  <si>
    <t>Object Orientatie</t>
  </si>
  <si>
    <t>Algoritmen en Datastructuren</t>
  </si>
  <si>
    <t>Data Mining</t>
  </si>
  <si>
    <t>Functioneel Programmeren 1</t>
  </si>
  <si>
    <t>Functioneel Programmeren 2</t>
  </si>
  <si>
    <t>Semantiek en Correctheid</t>
  </si>
  <si>
    <t>Complexiteit</t>
  </si>
  <si>
    <t>NWI-IBC022</t>
  </si>
  <si>
    <t>Network Security</t>
  </si>
  <si>
    <t>NWI-IBC034</t>
  </si>
  <si>
    <t>Operating Systems Security</t>
  </si>
  <si>
    <t>Human and Ecological Risk Assessment</t>
  </si>
  <si>
    <t>2014, 2015, 2016, 2017, 2018, 2019, 2020</t>
  </si>
  <si>
    <t>You have chosen not to do a minor.</t>
  </si>
  <si>
    <t>Mathematical Electives (12 EC)</t>
  </si>
  <si>
    <t>Game Theory</t>
  </si>
  <si>
    <t>Astronomy</t>
  </si>
  <si>
    <t>Prospectus link if minor outside FNWI:</t>
  </si>
  <si>
    <t>Please select your starting year</t>
  </si>
  <si>
    <t>Mathematical Electives (0 EC mandatory)</t>
  </si>
  <si>
    <t>Remarks about your programme:</t>
  </si>
  <si>
    <t>Honours ('judicium') is awarded  based on the nominal number of 120 EC required for the examination; extracurricular ECTS do not count for these honours.</t>
  </si>
  <si>
    <t>Based upon the "harde knip" regulations: </t>
  </si>
  <si>
    <t>- You may request permission to do exams for at most two master's courses or 10 EC of credits, whichever comes first.</t>
  </si>
  <si>
    <t>- These master courses also needs to be filled in here as extracurricular courses. For extracurricular courses you may request an exemption in your master.</t>
  </si>
  <si>
    <t>Compulsory Courses (57 EC)</t>
  </si>
  <si>
    <t>The next table contains your non-minor elective space. On the left hand side you will find the option to select your Mathematics courses.</t>
  </si>
  <si>
    <t>Minor (Optional)</t>
  </si>
  <si>
    <t>Please provide the name of the minor as well as the cohort of the prospectus it is found in.</t>
  </si>
  <si>
    <t>#hieronderbegintdeminormeteenhashtag</t>
  </si>
  <si>
    <t>#hierbovenbegintdeminormeteenhashtag</t>
  </si>
  <si>
    <t>2014,2015, 2016</t>
  </si>
  <si>
    <t>Extra courses (None required)</t>
  </si>
  <si>
    <t>Programme determined by the 'RDA'</t>
  </si>
  <si>
    <t>2014, 2015</t>
  </si>
  <si>
    <t>2015, 2014</t>
  </si>
  <si>
    <t>Translational Neuroscience</t>
  </si>
  <si>
    <t>2011, 2012, 2013, 2014, 2015</t>
  </si>
  <si>
    <t>NWI-BB101</t>
  </si>
  <si>
    <t>Mech. van gezondheid en ziekte deel 1</t>
  </si>
  <si>
    <t>NWI-BB075B1</t>
  </si>
  <si>
    <t>Methoden van geneeskunde</t>
  </si>
  <si>
    <t>NWI-BB102</t>
  </si>
  <si>
    <t>Mech. van gezondheid en ziekte deel 2</t>
  </si>
  <si>
    <t>NWI-BB075B2</t>
  </si>
  <si>
    <t>Inl. in de oncologie, immunologie, hematologie en infectieziekten</t>
  </si>
  <si>
    <t>NWI-BB103</t>
  </si>
  <si>
    <t>Praktijk en principes van de GNK deel 1</t>
  </si>
  <si>
    <t>NWI-BB075B3</t>
  </si>
  <si>
    <t>Inl. in de aandoeningen van circulatie en respiratie en hyperlipidemie</t>
  </si>
  <si>
    <t>NWI-BB104</t>
  </si>
  <si>
    <t>Praktijk en principes van de GNK deel 2</t>
  </si>
  <si>
    <t>NWI-BB075B4</t>
  </si>
  <si>
    <t>Inl. in de aandoeningen van de tractus digestivus</t>
  </si>
  <si>
    <t>NWI-BB105</t>
  </si>
  <si>
    <t>Patiënt contact onderwijs </t>
  </si>
  <si>
    <t>NWI-BB075B5</t>
  </si>
  <si>
    <t>Inl. in de Nefrologie &amp; Urologie</t>
  </si>
  <si>
    <t>NWI-BB106</t>
  </si>
  <si>
    <t>Anatomie: Hoofdlijnen Func. Morfologie</t>
  </si>
  <si>
    <t>NWI-BB107</t>
  </si>
  <si>
    <t>Farmacologie</t>
  </si>
  <si>
    <t>NWI-BB108</t>
  </si>
  <si>
    <t>Medisch professionele vorming</t>
  </si>
  <si>
    <t>NOTE: This minor is primarily meant for Physics students</t>
  </si>
  <si>
    <t>2016,2015,2014,Select your prospectus,Kies de studiegids</t>
  </si>
  <si>
    <t>Double Minor</t>
  </si>
  <si>
    <t>Minor 1:</t>
  </si>
  <si>
    <t>Minor 2:</t>
  </si>
  <si>
    <t>Name of minor 1:</t>
  </si>
  <si>
    <t>Name of minor 2:</t>
  </si>
  <si>
    <t>Choose at least two out of:</t>
  </si>
  <si>
    <t>Electives Physics or Mathematics:</t>
  </si>
  <si>
    <t>Please add the course manually</t>
  </si>
  <si>
    <t>Note: Total must add up to 30 EC!</t>
  </si>
  <si>
    <t>2016, 2017</t>
  </si>
  <si>
    <t>2015, 2016, 2017</t>
  </si>
  <si>
    <t>Extra course (Not required)</t>
  </si>
  <si>
    <t>Toxicology</t>
  </si>
  <si>
    <t>2017</t>
  </si>
  <si>
    <t>MAN-BCU322A</t>
  </si>
  <si>
    <t>MAN-BCU320</t>
  </si>
  <si>
    <t>NWI-IPC031</t>
  </si>
  <si>
    <t>Note: This minor is for Mathematics students only</t>
  </si>
  <si>
    <t>Note: This minor is discontinued as of academic year 2017 - 2018</t>
  </si>
  <si>
    <t>NWI-WP030</t>
  </si>
  <si>
    <t>NWI-WP029</t>
  </si>
  <si>
    <t>Crystal Growth</t>
  </si>
  <si>
    <t>NWI-MOL106</t>
  </si>
  <si>
    <t>Toegepaste Quantumchemie</t>
  </si>
  <si>
    <t>NWI-NP035</t>
  </si>
  <si>
    <t>NWI-NP036</t>
  </si>
  <si>
    <t>Rotaties en Periodieke Bewegingen</t>
  </si>
  <si>
    <t>Portfolio Bachelor</t>
  </si>
  <si>
    <t>Minor from another faculty</t>
  </si>
  <si>
    <t>Free Minor</t>
  </si>
  <si>
    <t>Request form for approval of your Bachelor's Programme: Mathematics Cohort 2017</t>
  </si>
  <si>
    <t>Analysis 2</t>
  </si>
  <si>
    <t>Compulsory Courses + Portfolio (57 EC)</t>
  </si>
  <si>
    <t>Specialisations</t>
  </si>
  <si>
    <t>AS</t>
  </si>
  <si>
    <t>A&amp;T, MFoCS</t>
  </si>
  <si>
    <t>MF, A&amp;T</t>
  </si>
  <si>
    <t>MF, AS</t>
  </si>
  <si>
    <t>MFoCS</t>
  </si>
  <si>
    <t>MF, AS, MFoCS</t>
  </si>
  <si>
    <t>Algebra and Topology</t>
  </si>
  <si>
    <t>Applied Stochasics</t>
  </si>
  <si>
    <t>Mathematical Foundations of Computing Science</t>
  </si>
  <si>
    <t>Mathematical Phyiscs</t>
  </si>
  <si>
    <t xml:space="preserve">EC of electives per specialisation. At least 1 specialisation should have a minimum of 12 EC </t>
  </si>
  <si>
    <t>Do these electives pass the specialisation criteria?</t>
  </si>
  <si>
    <t>2014,2015, 2016, 2017, 2018</t>
  </si>
  <si>
    <t>2018</t>
  </si>
  <si>
    <t>SOW-BKI211</t>
  </si>
  <si>
    <t>Computational and formal modeling</t>
  </si>
  <si>
    <t>SOW-BKI230A</t>
  </si>
  <si>
    <t>Neural Networks</t>
  </si>
  <si>
    <t>2014, 2015, 2016, 2017, 2018</t>
  </si>
  <si>
    <t>Note: This minor is discontinued as of academic year 2018-2019</t>
  </si>
  <si>
    <t>2016, 2017, 2018</t>
  </si>
  <si>
    <t>2017, 2018</t>
  </si>
  <si>
    <t>Interventiemethodologie (BdK)</t>
  </si>
  <si>
    <t>2015, 2016, 2017, 2018</t>
  </si>
  <si>
    <t>NWI-WP025</t>
  </si>
  <si>
    <t>NWI-WP027</t>
  </si>
  <si>
    <t>Biochemistry and molecular biology II</t>
  </si>
  <si>
    <t>Immunology</t>
  </si>
  <si>
    <t>Neurobiofysica</t>
  </si>
  <si>
    <t>Animal cell biology</t>
  </si>
  <si>
    <t>Human pathology</t>
  </si>
  <si>
    <t>Neurobiology</t>
  </si>
  <si>
    <t>Neurodevelopment</t>
  </si>
  <si>
    <t>Human embryology and developmental biology</t>
  </si>
  <si>
    <t>Endocrinology</t>
  </si>
  <si>
    <t>Neuroscience: from basics to clinic</t>
  </si>
  <si>
    <t>Functional genomics</t>
  </si>
  <si>
    <t>Pathophysiology of the kidney</t>
  </si>
  <si>
    <t>Neurophysiology of cognition and behaviour</t>
  </si>
  <si>
    <t>Cognitive neuroimaging</t>
  </si>
  <si>
    <t>Molecular principles of development</t>
  </si>
  <si>
    <t>Brain and behaviour</t>
  </si>
  <si>
    <t>NWI-BB086</t>
  </si>
  <si>
    <t>Genomics for health and environment</t>
  </si>
  <si>
    <t>Medical biotechnology</t>
  </si>
  <si>
    <t>Translational neuroscience</t>
  </si>
  <si>
    <t>Rotaties en Periodiek Bewegingen</t>
  </si>
  <si>
    <t>NWI-NB001C</t>
  </si>
  <si>
    <t>NWI-NP037</t>
  </si>
  <si>
    <t>Prospectus link (if applicable):</t>
  </si>
  <si>
    <t>Request form for approval of your Bachelor's Programme: Mathematics Cohort 2018</t>
  </si>
  <si>
    <t>NWI-WB003F</t>
  </si>
  <si>
    <t>Gew. Diff.verg. + Numer. Meth.</t>
  </si>
  <si>
    <t>NWI-WB093</t>
  </si>
  <si>
    <t>Complex Analysis</t>
  </si>
  <si>
    <t>Schrijven over Wetenschap</t>
  </si>
  <si>
    <t>Compulsory Courses + Portfolio (60 EC)</t>
  </si>
  <si>
    <t>before 2016</t>
  </si>
  <si>
    <t>2016-2017 Dropdown</t>
  </si>
  <si>
    <t>2018 Dropdown</t>
  </si>
  <si>
    <t xml:space="preserve">Differentiaalmeetkunde </t>
  </si>
  <si>
    <t>Introduction to Partial Differential Equations</t>
  </si>
  <si>
    <t>Introduction Functional Analysis</t>
  </si>
  <si>
    <t xml:space="preserve">Toegepaste Stochastiek </t>
  </si>
  <si>
    <t xml:space="preserve">Inleiding Mathematische Fysica </t>
  </si>
  <si>
    <t xml:space="preserve">Getaltheorie </t>
  </si>
  <si>
    <t xml:space="preserve">Portfolio Theorie </t>
  </si>
  <si>
    <t>NWI-WB045B</t>
  </si>
  <si>
    <t>MF, AT</t>
  </si>
  <si>
    <t>MF, TS</t>
  </si>
  <si>
    <t>TS</t>
  </si>
  <si>
    <t>AT, MFoCS</t>
  </si>
  <si>
    <t>MF</t>
  </si>
  <si>
    <t>MF, TS, MFoCS</t>
  </si>
  <si>
    <t xml:space="preserve">Model Theory </t>
  </si>
  <si>
    <t>NWI-MI-NANAT-10</t>
  </si>
  <si>
    <t>NWI-MI-ICKI-18</t>
  </si>
  <si>
    <t>NWI-MI-NAST-10</t>
  </si>
  <si>
    <t>NWI-MI-BIO15</t>
  </si>
  <si>
    <t>NWI-MI-BIOCH-16</t>
  </si>
  <si>
    <t>NWI-MI-IKBK-17</t>
  </si>
  <si>
    <t>NWI-MI-BIOINF17</t>
  </si>
  <si>
    <t>NWI-MI-WNINF-14</t>
  </si>
  <si>
    <t>NWI-MI-WI-EC</t>
  </si>
  <si>
    <t>NWI-MI-SKMIL09</t>
  </si>
  <si>
    <t>NWI-MI-GCSE-16</t>
  </si>
  <si>
    <t>NWI-MI-INFSC-18</t>
  </si>
  <si>
    <t>NWI-MI-BIOWIS18</t>
  </si>
  <si>
    <t>NWI-MI-CMSWIS17</t>
  </si>
  <si>
    <t>NWI-MI-NAWIS-15</t>
  </si>
  <si>
    <t>NWI-MI-BIOMB11</t>
  </si>
  <si>
    <t>NWI-MI-BIOGK16</t>
  </si>
  <si>
    <t>NWI-MI-SKNANO09</t>
  </si>
  <si>
    <t>NWI-MI-WINEU-18</t>
  </si>
  <si>
    <t>NWI-MI-NA-NEU15</t>
  </si>
  <si>
    <t>NWI-MI-PHYCH-17</t>
  </si>
  <si>
    <t>NWI-MI-NATWI-18</t>
  </si>
  <si>
    <t>NWI-MI-SUSCH-15</t>
  </si>
  <si>
    <t>Mathematical Electives (15 EC post-prop or 12 EC 3rd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</si>
</sst>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theme="3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i/>
      <sz val="12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i/>
      <sz val="12"/>
      <color theme="4"/>
      <name val="Calibri"/>
      <family val="2"/>
      <scheme val="minor"/>
    </font>
    <font>
      <sz val="11"/>
      <color indexed="8"/>
      <name val="Calibri"/>
      <family val="2"/>
    </font>
    <font>
      <sz val="8.5"/>
      <color rgb="FF333333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b/>
      <sz val="9"/>
      <name val="Verdana"/>
      <family val="2"/>
    </font>
    <font>
      <sz val="11"/>
      <color rgb="FF333333"/>
      <name val="Calibri"/>
      <family val="2"/>
      <scheme val="minor"/>
    </font>
    <font>
      <b/>
      <sz val="12"/>
      <color theme="5" tint="0.79998168889431442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A6A6A7"/>
      </right>
      <top/>
      <bottom style="medium">
        <color rgb="FFA6A6A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10" borderId="13" applyNumberFormat="0" applyFont="0" applyAlignment="0" applyProtection="0"/>
    <xf numFmtId="0" fontId="21" fillId="11" borderId="0" applyNumberFormat="0" applyBorder="0" applyAlignment="0" applyProtection="0"/>
    <xf numFmtId="0" fontId="51" fillId="0" borderId="0"/>
  </cellStyleXfs>
  <cellXfs count="33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49" fontId="7" fillId="0" borderId="5" xfId="0" applyNumberFormat="1" applyFont="1" applyFill="1" applyBorder="1" applyAlignment="1" applyProtection="1">
      <alignment horizontal="left"/>
      <protection locked="0"/>
    </xf>
    <xf numFmtId="49" fontId="5" fillId="0" borderId="5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quotePrefix="1"/>
    <xf numFmtId="0" fontId="11" fillId="0" borderId="0" xfId="0" applyFont="1"/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quotePrefix="1"/>
    <xf numFmtId="0" fontId="1" fillId="0" borderId="0" xfId="0" applyFont="1" applyBorder="1" applyAlignment="1" applyProtection="1">
      <alignment horizontal="center"/>
      <protection hidden="1"/>
    </xf>
    <xf numFmtId="0" fontId="10" fillId="2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</xf>
    <xf numFmtId="0" fontId="0" fillId="0" borderId="0" xfId="0" applyBorder="1" applyProtection="1"/>
    <xf numFmtId="49" fontId="8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6" xfId="0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>
      <alignment vertical="center"/>
    </xf>
    <xf numFmtId="0" fontId="12" fillId="0" borderId="0" xfId="0" applyFont="1"/>
    <xf numFmtId="49" fontId="15" fillId="0" borderId="0" xfId="0" applyNumberFormat="1" applyFont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left"/>
    </xf>
    <xf numFmtId="0" fontId="0" fillId="5" borderId="9" xfId="0" applyFill="1" applyBorder="1"/>
    <xf numFmtId="0" fontId="0" fillId="0" borderId="1" xfId="0" applyBorder="1"/>
    <xf numFmtId="0" fontId="0" fillId="0" borderId="10" xfId="0" applyBorder="1"/>
    <xf numFmtId="0" fontId="6" fillId="0" borderId="1" xfId="0" applyFont="1" applyBorder="1"/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49" fontId="0" fillId="0" borderId="0" xfId="0" applyNumberFormat="1" applyFont="1" applyProtection="1"/>
    <xf numFmtId="0" fontId="0" fillId="0" borderId="5" xfId="0" applyFont="1" applyFill="1" applyBorder="1" applyAlignment="1" applyProtection="1">
      <alignment horizontal="center"/>
    </xf>
    <xf numFmtId="49" fontId="0" fillId="0" borderId="11" xfId="0" applyNumberFormat="1" applyFont="1" applyBorder="1" applyProtection="1"/>
    <xf numFmtId="0" fontId="0" fillId="0" borderId="11" xfId="0" applyFont="1" applyBorder="1" applyProtection="1"/>
    <xf numFmtId="0" fontId="0" fillId="0" borderId="11" xfId="0" applyFont="1" applyBorder="1" applyAlignment="1" applyProtection="1">
      <alignment horizontal="center"/>
    </xf>
    <xf numFmtId="49" fontId="0" fillId="0" borderId="5" xfId="0" applyNumberFormat="1" applyFont="1" applyBorder="1" applyProtection="1"/>
    <xf numFmtId="0" fontId="0" fillId="0" borderId="5" xfId="0" applyFont="1" applyFill="1" applyBorder="1" applyAlignment="1" applyProtection="1">
      <alignment horizontal="center"/>
      <protection locked="0"/>
    </xf>
    <xf numFmtId="0" fontId="0" fillId="6" borderId="5" xfId="0" applyFont="1" applyFill="1" applyBorder="1" applyProtection="1"/>
    <xf numFmtId="0" fontId="0" fillId="6" borderId="5" xfId="0" applyFont="1" applyFill="1" applyBorder="1" applyAlignment="1" applyProtection="1">
      <alignment horizontal="center"/>
    </xf>
    <xf numFmtId="0" fontId="0" fillId="6" borderId="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quotePrefix="1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</xf>
    <xf numFmtId="49" fontId="18" fillId="0" borderId="0" xfId="0" applyNumberFormat="1" applyFont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Font="1" applyBorder="1" applyProtection="1"/>
    <xf numFmtId="0" fontId="0" fillId="0" borderId="0" xfId="0" applyFont="1"/>
    <xf numFmtId="49" fontId="12" fillId="0" borderId="0" xfId="0" applyNumberFormat="1" applyFont="1" applyProtection="1"/>
    <xf numFmtId="49" fontId="17" fillId="0" borderId="5" xfId="0" applyNumberFormat="1" applyFont="1" applyBorder="1" applyProtection="1"/>
    <xf numFmtId="0" fontId="5" fillId="0" borderId="5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49" fontId="0" fillId="7" borderId="5" xfId="0" applyNumberFormat="1" applyFont="1" applyFill="1" applyBorder="1" applyProtection="1"/>
    <xf numFmtId="0" fontId="0" fillId="7" borderId="5" xfId="0" applyFont="1" applyFill="1" applyBorder="1" applyProtection="1"/>
    <xf numFmtId="0" fontId="0" fillId="7" borderId="5" xfId="0" applyFont="1" applyFill="1" applyBorder="1" applyAlignment="1" applyProtection="1">
      <alignment horizontal="center"/>
    </xf>
    <xf numFmtId="0" fontId="0" fillId="7" borderId="5" xfId="0" applyFont="1" applyFill="1" applyBorder="1" applyAlignment="1" applyProtection="1">
      <alignment horizontal="center"/>
      <protection locked="0"/>
    </xf>
    <xf numFmtId="49" fontId="17" fillId="0" borderId="12" xfId="0" applyNumberFormat="1" applyFont="1" applyBorder="1" applyProtection="1"/>
    <xf numFmtId="0" fontId="0" fillId="0" borderId="12" xfId="0" applyFont="1" applyFill="1" applyBorder="1" applyProtection="1"/>
    <xf numFmtId="0" fontId="0" fillId="0" borderId="12" xfId="0" applyFont="1" applyFill="1" applyBorder="1" applyAlignment="1" applyProtection="1">
      <alignment horizontal="center"/>
    </xf>
    <xf numFmtId="0" fontId="19" fillId="0" borderId="0" xfId="0" applyFont="1"/>
    <xf numFmtId="49" fontId="17" fillId="0" borderId="0" xfId="0" applyNumberFormat="1" applyFont="1" applyProtection="1"/>
    <xf numFmtId="49" fontId="0" fillId="6" borderId="5" xfId="0" applyNumberFormat="1" applyFont="1" applyFill="1" applyBorder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8" borderId="5" xfId="0" applyFont="1" applyFill="1" applyBorder="1" applyProtection="1"/>
    <xf numFmtId="0" fontId="0" fillId="8" borderId="5" xfId="0" applyFont="1" applyFill="1" applyBorder="1" applyAlignment="1" applyProtection="1">
      <alignment horizontal="center"/>
    </xf>
    <xf numFmtId="0" fontId="0" fillId="8" borderId="5" xfId="0" applyFont="1" applyFill="1" applyBorder="1" applyAlignment="1" applyProtection="1">
      <alignment horizontal="center"/>
      <protection locked="0"/>
    </xf>
    <xf numFmtId="0" fontId="0" fillId="0" borderId="5" xfId="0" applyBorder="1" applyProtection="1"/>
    <xf numFmtId="0" fontId="0" fillId="9" borderId="5" xfId="0" applyFont="1" applyFill="1" applyBorder="1" applyProtection="1"/>
    <xf numFmtId="0" fontId="0" fillId="9" borderId="5" xfId="0" applyFont="1" applyFill="1" applyBorder="1" applyAlignment="1" applyProtection="1">
      <alignment horizontal="center"/>
    </xf>
    <xf numFmtId="0" fontId="0" fillId="9" borderId="5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6" borderId="2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0" borderId="5" xfId="0" applyNumberFormat="1" applyFont="1" applyFill="1" applyBorder="1" applyProtection="1"/>
    <xf numFmtId="0" fontId="0" fillId="0" borderId="5" xfId="0" applyFont="1" applyFill="1" applyBorder="1" applyProtection="1"/>
    <xf numFmtId="0" fontId="0" fillId="0" borderId="0" xfId="0" applyFont="1" applyBorder="1" applyAlignment="1" applyProtection="1">
      <alignment horizontal="center"/>
      <protection locked="0"/>
    </xf>
    <xf numFmtId="0" fontId="17" fillId="0" borderId="5" xfId="0" applyFont="1" applyBorder="1" applyProtection="1"/>
    <xf numFmtId="49" fontId="17" fillId="0" borderId="0" xfId="0" applyNumberFormat="1" applyFont="1" applyBorder="1" applyProtection="1"/>
    <xf numFmtId="0" fontId="14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5" xfId="0" applyFont="1" applyBorder="1" applyProtection="1"/>
    <xf numFmtId="0" fontId="19" fillId="6" borderId="5" xfId="0" applyFont="1" applyFill="1" applyBorder="1" applyProtection="1"/>
    <xf numFmtId="49" fontId="0" fillId="0" borderId="0" xfId="0" applyNumberFormat="1" applyFont="1"/>
    <xf numFmtId="0" fontId="0" fillId="0" borderId="0" xfId="0" applyFont="1" applyAlignment="1">
      <alignment horizontal="center"/>
    </xf>
    <xf numFmtId="49" fontId="0" fillId="8" borderId="5" xfId="0" applyNumberFormat="1" applyFill="1" applyBorder="1" applyAlignment="1">
      <alignment horizontal="center"/>
    </xf>
    <xf numFmtId="0" fontId="0" fillId="8" borderId="5" xfId="0" applyFill="1" applyBorder="1"/>
    <xf numFmtId="49" fontId="0" fillId="8" borderId="5" xfId="0" applyNumberFormat="1" applyFill="1" applyBorder="1"/>
    <xf numFmtId="0" fontId="0" fillId="8" borderId="5" xfId="0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0" fillId="4" borderId="5" xfId="0" applyNumberFormat="1" applyFill="1" applyBorder="1"/>
    <xf numFmtId="0" fontId="0" fillId="4" borderId="5" xfId="0" applyFill="1" applyBorder="1"/>
    <xf numFmtId="0" fontId="0" fillId="10" borderId="13" xfId="1" applyFont="1" applyAlignment="1">
      <alignment horizontal="left"/>
    </xf>
    <xf numFmtId="0" fontId="0" fillId="10" borderId="13" xfId="1" quotePrefix="1" applyFont="1" applyAlignment="1">
      <alignment horizontal="left"/>
    </xf>
    <xf numFmtId="49" fontId="6" fillId="0" borderId="0" xfId="0" applyNumberFormat="1" applyFont="1" applyAlignment="1" applyProtection="1">
      <alignment horizontal="center"/>
    </xf>
    <xf numFmtId="49" fontId="22" fillId="0" borderId="0" xfId="0" applyNumberFormat="1" applyFont="1" applyAlignment="1" applyProtection="1">
      <alignment horizontal="center" wrapText="1"/>
    </xf>
    <xf numFmtId="0" fontId="23" fillId="0" borderId="0" xfId="0" applyFont="1" applyAlignment="1" applyProtection="1">
      <alignment wrapText="1"/>
    </xf>
    <xf numFmtId="0" fontId="23" fillId="0" borderId="0" xfId="0" applyFont="1" applyAlignment="1" applyProtection="1">
      <alignment horizontal="center" wrapText="1"/>
    </xf>
    <xf numFmtId="49" fontId="22" fillId="0" borderId="0" xfId="0" applyNumberFormat="1" applyFont="1" applyAlignment="1" applyProtection="1">
      <alignment horizontal="center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22" fillId="0" borderId="0" xfId="0" applyFont="1" applyProtection="1"/>
    <xf numFmtId="0" fontId="24" fillId="0" borderId="0" xfId="0" applyFont="1" applyProtection="1"/>
    <xf numFmtId="0" fontId="23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22" fillId="0" borderId="5" xfId="0" applyFont="1" applyBorder="1" applyProtection="1"/>
    <xf numFmtId="0" fontId="27" fillId="0" borderId="0" xfId="0" applyFont="1" applyFill="1" applyBorder="1" applyProtection="1"/>
    <xf numFmtId="0" fontId="22" fillId="0" borderId="7" xfId="0" applyFont="1" applyBorder="1" applyAlignment="1" applyProtection="1"/>
    <xf numFmtId="0" fontId="22" fillId="0" borderId="7" xfId="0" applyFont="1" applyBorder="1" applyAlignment="1" applyProtection="1">
      <alignment horizontal="center"/>
    </xf>
    <xf numFmtId="0" fontId="22" fillId="0" borderId="0" xfId="0" applyFont="1" applyBorder="1" applyAlignment="1" applyProtection="1"/>
    <xf numFmtId="0" fontId="22" fillId="0" borderId="1" xfId="0" applyFont="1" applyBorder="1" applyAlignment="1" applyProtection="1">
      <alignment horizontal="left"/>
    </xf>
    <xf numFmtId="0" fontId="22" fillId="0" borderId="8" xfId="0" applyFont="1" applyBorder="1" applyProtection="1"/>
    <xf numFmtId="0" fontId="22" fillId="0" borderId="8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 wrapText="1"/>
    </xf>
    <xf numFmtId="0" fontId="22" fillId="0" borderId="8" xfId="0" applyNumberFormat="1" applyFont="1" applyFill="1" applyBorder="1" applyAlignment="1" applyProtection="1">
      <alignment horizontal="center"/>
    </xf>
    <xf numFmtId="0" fontId="24" fillId="0" borderId="5" xfId="0" applyFont="1" applyBorder="1" applyProtection="1"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center"/>
      <protection locked="0"/>
    </xf>
    <xf numFmtId="49" fontId="29" fillId="0" borderId="0" xfId="0" applyNumberFormat="1" applyFont="1" applyFill="1" applyBorder="1" applyAlignment="1" applyProtection="1">
      <alignment horizontal="right"/>
    </xf>
    <xf numFmtId="0" fontId="30" fillId="2" borderId="0" xfId="0" applyNumberFormat="1" applyFont="1" applyFill="1" applyBorder="1" applyAlignment="1" applyProtection="1">
      <alignment horizontal="center"/>
    </xf>
    <xf numFmtId="0" fontId="27" fillId="0" borderId="0" xfId="0" applyFont="1" applyProtection="1"/>
    <xf numFmtId="0" fontId="28" fillId="0" borderId="0" xfId="0" applyFont="1" applyBorder="1" applyAlignment="1" applyProtection="1">
      <alignment horizontal="right"/>
    </xf>
    <xf numFmtId="0" fontId="32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23" fillId="0" borderId="0" xfId="0" applyFont="1" applyBorder="1" applyProtection="1"/>
    <xf numFmtId="0" fontId="22" fillId="0" borderId="0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right"/>
    </xf>
    <xf numFmtId="0" fontId="32" fillId="0" borderId="7" xfId="0" applyFont="1" applyBorder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</xf>
    <xf numFmtId="0" fontId="23" fillId="0" borderId="7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Alignment="1" applyProtection="1">
      <alignment horizontal="left"/>
    </xf>
    <xf numFmtId="0" fontId="23" fillId="0" borderId="5" xfId="0" applyFont="1" applyBorder="1" applyProtection="1">
      <protection locked="0"/>
    </xf>
    <xf numFmtId="0" fontId="22" fillId="0" borderId="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Protection="1"/>
    <xf numFmtId="0" fontId="24" fillId="0" borderId="0" xfId="0" applyFont="1" applyAlignment="1" applyProtection="1">
      <alignment horizontal="center"/>
    </xf>
    <xf numFmtId="0" fontId="22" fillId="0" borderId="7" xfId="0" applyFont="1" applyBorder="1" applyProtection="1"/>
    <xf numFmtId="0" fontId="23" fillId="0" borderId="7" xfId="0" applyFont="1" applyBorder="1" applyAlignment="1" applyProtection="1">
      <alignment horizontal="center"/>
    </xf>
    <xf numFmtId="0" fontId="22" fillId="0" borderId="7" xfId="0" applyFont="1" applyFill="1" applyBorder="1" applyProtection="1"/>
    <xf numFmtId="0" fontId="31" fillId="0" borderId="7" xfId="0" applyFont="1" applyFill="1" applyBorder="1" applyAlignment="1" applyProtection="1">
      <alignment horizontal="center"/>
    </xf>
    <xf numFmtId="0" fontId="34" fillId="3" borderId="11" xfId="0" applyNumberFormat="1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</xf>
    <xf numFmtId="49" fontId="35" fillId="0" borderId="0" xfId="0" applyNumberFormat="1" applyFont="1" applyFill="1" applyBorder="1" applyAlignment="1" applyProtection="1">
      <alignment horizontal="right"/>
    </xf>
    <xf numFmtId="0" fontId="36" fillId="2" borderId="0" xfId="0" applyNumberFormat="1" applyFont="1" applyFill="1" applyBorder="1" applyAlignment="1" applyProtection="1">
      <alignment horizontal="center"/>
    </xf>
    <xf numFmtId="0" fontId="37" fillId="11" borderId="5" xfId="2" applyFont="1" applyBorder="1" applyAlignment="1" applyProtection="1">
      <alignment horizontal="right"/>
    </xf>
    <xf numFmtId="0" fontId="37" fillId="11" borderId="5" xfId="2" applyFont="1" applyBorder="1" applyAlignment="1" applyProtection="1">
      <alignment horizontal="center"/>
    </xf>
    <xf numFmtId="49" fontId="23" fillId="0" borderId="0" xfId="0" applyNumberFormat="1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0" borderId="5" xfId="0" applyFont="1" applyBorder="1" applyProtection="1"/>
    <xf numFmtId="49" fontId="14" fillId="0" borderId="5" xfId="0" applyNumberFormat="1" applyFont="1" applyBorder="1" applyAlignment="1" applyProtection="1">
      <alignment horizontal="center"/>
    </xf>
    <xf numFmtId="0" fontId="38" fillId="12" borderId="1" xfId="0" applyNumberFormat="1" applyFont="1" applyFill="1" applyBorder="1" applyAlignment="1" applyProtection="1">
      <alignment horizontal="center"/>
    </xf>
    <xf numFmtId="0" fontId="38" fillId="12" borderId="5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 wrapText="1"/>
    </xf>
    <xf numFmtId="0" fontId="0" fillId="10" borderId="13" xfId="1" applyNumberFormat="1" applyFont="1" applyAlignment="1">
      <alignment horizontal="center"/>
    </xf>
    <xf numFmtId="0" fontId="0" fillId="10" borderId="13" xfId="1" quotePrefix="1" applyNumberFormat="1" applyFont="1" applyAlignment="1">
      <alignment horizontal="center"/>
    </xf>
    <xf numFmtId="0" fontId="0" fillId="10" borderId="13" xfId="1" applyFont="1"/>
    <xf numFmtId="0" fontId="0" fillId="10" borderId="13" xfId="1" quotePrefix="1" applyFont="1"/>
    <xf numFmtId="0" fontId="22" fillId="0" borderId="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0" fillId="13" borderId="21" xfId="0" applyFill="1" applyBorder="1" applyProtection="1">
      <protection locked="0"/>
    </xf>
    <xf numFmtId="0" fontId="0" fillId="13" borderId="0" xfId="0" applyFill="1" applyBorder="1" applyProtection="1">
      <protection locked="0"/>
    </xf>
    <xf numFmtId="0" fontId="0" fillId="13" borderId="22" xfId="0" applyFill="1" applyBorder="1" applyProtection="1">
      <protection locked="0"/>
    </xf>
    <xf numFmtId="0" fontId="0" fillId="13" borderId="23" xfId="0" applyFill="1" applyBorder="1" applyProtection="1">
      <protection locked="0"/>
    </xf>
    <xf numFmtId="0" fontId="0" fillId="13" borderId="7" xfId="0" applyFill="1" applyBorder="1" applyProtection="1">
      <protection locked="0"/>
    </xf>
    <xf numFmtId="0" fontId="0" fillId="13" borderId="24" xfId="0" applyFill="1" applyBorder="1" applyProtection="1">
      <protection locked="0"/>
    </xf>
    <xf numFmtId="0" fontId="5" fillId="0" borderId="5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3" borderId="5" xfId="0" applyFont="1" applyFill="1" applyBorder="1" applyProtection="1"/>
    <xf numFmtId="0" fontId="0" fillId="3" borderId="5" xfId="0" applyFont="1" applyFill="1" applyBorder="1" applyAlignment="1" applyProtection="1">
      <alignment horizontal="center"/>
    </xf>
    <xf numFmtId="49" fontId="5" fillId="3" borderId="5" xfId="0" applyNumberFormat="1" applyFont="1" applyFill="1" applyBorder="1" applyAlignment="1" applyProtection="1">
      <alignment horizontal="left"/>
    </xf>
    <xf numFmtId="0" fontId="5" fillId="3" borderId="5" xfId="0" applyNumberFormat="1" applyFont="1" applyFill="1" applyBorder="1" applyAlignment="1" applyProtection="1">
      <alignment horizontal="center"/>
    </xf>
    <xf numFmtId="49" fontId="5" fillId="8" borderId="5" xfId="0" applyNumberFormat="1" applyFont="1" applyFill="1" applyBorder="1" applyAlignment="1" applyProtection="1">
      <alignment horizontal="left"/>
    </xf>
    <xf numFmtId="0" fontId="5" fillId="8" borderId="5" xfId="0" applyNumberFormat="1" applyFont="1" applyFill="1" applyBorder="1" applyAlignment="1" applyProtection="1">
      <alignment horizontal="center"/>
    </xf>
    <xf numFmtId="49" fontId="5" fillId="7" borderId="5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center"/>
    </xf>
    <xf numFmtId="49" fontId="5" fillId="14" borderId="5" xfId="0" applyNumberFormat="1" applyFont="1" applyFill="1" applyBorder="1" applyAlignment="1" applyProtection="1">
      <alignment horizontal="left"/>
    </xf>
    <xf numFmtId="0" fontId="5" fillId="14" borderId="5" xfId="0" applyNumberFormat="1" applyFont="1" applyFill="1" applyBorder="1" applyAlignment="1" applyProtection="1">
      <alignment horizontal="center"/>
    </xf>
    <xf numFmtId="0" fontId="41" fillId="0" borderId="0" xfId="0" applyFont="1" applyAlignment="1" applyProtection="1">
      <alignment horizontal="right"/>
    </xf>
    <xf numFmtId="0" fontId="39" fillId="3" borderId="5" xfId="0" applyNumberFormat="1" applyFont="1" applyFill="1" applyBorder="1" applyAlignment="1" applyProtection="1">
      <alignment horizontal="center"/>
    </xf>
    <xf numFmtId="0" fontId="23" fillId="0" borderId="5" xfId="0" applyFont="1" applyBorder="1" applyAlignment="1" applyProtection="1">
      <alignment horizontal="center"/>
    </xf>
    <xf numFmtId="0" fontId="39" fillId="3" borderId="5" xfId="0" applyFont="1" applyFill="1" applyBorder="1" applyAlignment="1" applyProtection="1">
      <alignment horizontal="center"/>
    </xf>
    <xf numFmtId="0" fontId="23" fillId="15" borderId="5" xfId="0" applyFont="1" applyFill="1" applyBorder="1" applyAlignment="1" applyProtection="1">
      <alignment horizontal="center"/>
    </xf>
    <xf numFmtId="0" fontId="0" fillId="10" borderId="13" xfId="1" quotePrefix="1" applyFont="1" applyAlignment="1">
      <alignment horizontal="center"/>
    </xf>
    <xf numFmtId="0" fontId="0" fillId="10" borderId="13" xfId="1" applyFont="1" applyAlignment="1">
      <alignment horizontal="center"/>
    </xf>
    <xf numFmtId="0" fontId="0" fillId="0" borderId="5" xfId="0" applyBorder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0" fillId="0" borderId="5" xfId="0" applyBorder="1" applyAlignment="1">
      <alignment horizontal="center"/>
    </xf>
    <xf numFmtId="0" fontId="42" fillId="16" borderId="25" xfId="0" applyFont="1" applyFill="1" applyBorder="1" applyAlignment="1" applyProtection="1">
      <alignment horizontal="left" vertical="top" wrapText="1"/>
    </xf>
    <xf numFmtId="164" fontId="42" fillId="16" borderId="26" xfId="0" applyNumberFormat="1" applyFont="1" applyFill="1" applyBorder="1" applyAlignment="1" applyProtection="1">
      <alignment horizontal="center" vertical="top" wrapText="1"/>
    </xf>
    <xf numFmtId="0" fontId="0" fillId="8" borderId="5" xfId="0" applyFill="1" applyBorder="1" applyAlignment="1">
      <alignment horizontal="left"/>
    </xf>
    <xf numFmtId="0" fontId="0" fillId="4" borderId="2" xfId="0" applyFill="1" applyBorder="1"/>
    <xf numFmtId="0" fontId="0" fillId="8" borderId="4" xfId="0" applyFill="1" applyBorder="1"/>
    <xf numFmtId="49" fontId="14" fillId="0" borderId="11" xfId="0" applyNumberFormat="1" applyFont="1" applyBorder="1" applyAlignment="1" applyProtection="1">
      <alignment horizontal="center"/>
    </xf>
    <xf numFmtId="0" fontId="0" fillId="0" borderId="5" xfId="0" applyBorder="1"/>
    <xf numFmtId="0" fontId="0" fillId="3" borderId="5" xfId="0" applyFont="1" applyFill="1" applyBorder="1" applyAlignment="1" applyProtection="1">
      <alignment horizontal="center"/>
      <protection locked="0"/>
    </xf>
    <xf numFmtId="0" fontId="0" fillId="17" borderId="5" xfId="0" applyFont="1" applyFill="1" applyBorder="1" applyProtection="1"/>
    <xf numFmtId="0" fontId="0" fillId="17" borderId="5" xfId="0" applyFont="1" applyFill="1" applyBorder="1" applyAlignment="1" applyProtection="1">
      <alignment horizontal="center"/>
    </xf>
    <xf numFmtId="0" fontId="0" fillId="17" borderId="5" xfId="0" applyFont="1" applyFill="1" applyBorder="1" applyAlignment="1" applyProtection="1">
      <alignment horizontal="center"/>
      <protection locked="0"/>
    </xf>
    <xf numFmtId="0" fontId="0" fillId="18" borderId="5" xfId="0" applyFont="1" applyFill="1" applyBorder="1" applyProtection="1"/>
    <xf numFmtId="0" fontId="0" fillId="18" borderId="5" xfId="0" applyFont="1" applyFill="1" applyBorder="1" applyAlignment="1" applyProtection="1">
      <alignment horizontal="center"/>
    </xf>
    <xf numFmtId="0" fontId="0" fillId="18" borderId="5" xfId="0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Protection="1">
      <protection locked="0"/>
    </xf>
    <xf numFmtId="0" fontId="0" fillId="0" borderId="5" xfId="0" applyFont="1" applyBorder="1" applyProtection="1">
      <protection locked="0"/>
    </xf>
    <xf numFmtId="49" fontId="14" fillId="0" borderId="5" xfId="0" applyNumberFormat="1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49" fontId="0" fillId="0" borderId="11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0" xfId="0" applyFont="1" applyAlignment="1" applyProtection="1">
      <alignment horizontal="center"/>
    </xf>
    <xf numFmtId="0" fontId="45" fillId="0" borderId="0" xfId="0" applyFont="1" applyProtection="1"/>
    <xf numFmtId="0" fontId="44" fillId="0" borderId="0" xfId="0" quotePrefix="1" applyFont="1"/>
    <xf numFmtId="0" fontId="46" fillId="0" borderId="0" xfId="0" applyFont="1"/>
    <xf numFmtId="0" fontId="0" fillId="0" borderId="3" xfId="0" applyBorder="1"/>
    <xf numFmtId="0" fontId="27" fillId="0" borderId="7" xfId="0" applyFont="1" applyBorder="1" applyProtection="1"/>
    <xf numFmtId="0" fontId="23" fillId="0" borderId="0" xfId="0" applyFont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/>
    <xf numFmtId="0" fontId="0" fillId="0" borderId="5" xfId="0" applyBorder="1" applyProtection="1">
      <protection locked="0"/>
    </xf>
    <xf numFmtId="0" fontId="14" fillId="0" borderId="5" xfId="0" applyFont="1" applyBorder="1" applyAlignment="1">
      <alignment horizontal="center"/>
    </xf>
    <xf numFmtId="0" fontId="19" fillId="19" borderId="11" xfId="0" applyFont="1" applyFill="1" applyBorder="1" applyProtection="1"/>
    <xf numFmtId="0" fontId="6" fillId="19" borderId="11" xfId="0" applyFont="1" applyFill="1" applyBorder="1" applyAlignment="1" applyProtection="1">
      <alignment horizontal="center"/>
    </xf>
    <xf numFmtId="0" fontId="0" fillId="19" borderId="11" xfId="0" applyFont="1" applyFill="1" applyBorder="1" applyAlignment="1" applyProtection="1">
      <alignment horizontal="center"/>
    </xf>
    <xf numFmtId="0" fontId="0" fillId="19" borderId="11" xfId="0" applyFont="1" applyFill="1" applyBorder="1" applyAlignment="1" applyProtection="1">
      <alignment horizontal="center"/>
      <protection locked="0"/>
    </xf>
    <xf numFmtId="49" fontId="14" fillId="0" borderId="5" xfId="0" applyNumberFormat="1" applyFont="1" applyBorder="1" applyProtection="1"/>
    <xf numFmtId="49" fontId="0" fillId="0" borderId="5" xfId="0" applyNumberFormat="1" applyBorder="1" applyProtection="1"/>
    <xf numFmtId="49" fontId="0" fillId="9" borderId="5" xfId="0" applyNumberFormat="1" applyFill="1" applyBorder="1" applyProtection="1"/>
    <xf numFmtId="49" fontId="0" fillId="6" borderId="5" xfId="0" applyNumberFormat="1" applyFill="1" applyBorder="1" applyProtection="1"/>
    <xf numFmtId="49" fontId="0" fillId="8" borderId="5" xfId="0" applyNumberFormat="1" applyFont="1" applyFill="1" applyBorder="1" applyProtection="1"/>
    <xf numFmtId="0" fontId="47" fillId="0" borderId="5" xfId="0" applyFont="1" applyBorder="1"/>
    <xf numFmtId="49" fontId="0" fillId="0" borderId="5" xfId="0" applyNumberFormat="1" applyBorder="1"/>
    <xf numFmtId="49" fontId="19" fillId="0" borderId="5" xfId="0" applyNumberFormat="1" applyFont="1" applyBorder="1" applyProtection="1"/>
    <xf numFmtId="49" fontId="0" fillId="20" borderId="5" xfId="0" applyNumberFormat="1" applyFont="1" applyFill="1" applyBorder="1" applyProtection="1"/>
    <xf numFmtId="0" fontId="0" fillId="20" borderId="5" xfId="0" applyFont="1" applyFill="1" applyBorder="1" applyProtection="1"/>
    <xf numFmtId="0" fontId="0" fillId="20" borderId="5" xfId="0" applyFont="1" applyFill="1" applyBorder="1" applyAlignment="1" applyProtection="1">
      <alignment horizontal="center"/>
    </xf>
    <xf numFmtId="49" fontId="0" fillId="21" borderId="5" xfId="0" applyNumberFormat="1" applyFont="1" applyFill="1" applyBorder="1" applyProtection="1"/>
    <xf numFmtId="0" fontId="14" fillId="21" borderId="5" xfId="0" applyFont="1" applyFill="1" applyBorder="1" applyAlignment="1" applyProtection="1">
      <alignment horizontal="center"/>
    </xf>
    <xf numFmtId="0" fontId="0" fillId="21" borderId="5" xfId="0" applyFont="1" applyFill="1" applyBorder="1" applyAlignment="1" applyProtection="1">
      <alignment horizontal="center"/>
    </xf>
    <xf numFmtId="49" fontId="0" fillId="22" borderId="5" xfId="0" applyNumberFormat="1" applyFont="1" applyFill="1" applyBorder="1" applyProtection="1">
      <protection locked="0"/>
    </xf>
    <xf numFmtId="0" fontId="0" fillId="22" borderId="5" xfId="0" applyFont="1" applyFill="1" applyBorder="1" applyProtection="1">
      <protection locked="0"/>
    </xf>
    <xf numFmtId="0" fontId="0" fillId="22" borderId="5" xfId="0" applyFont="1" applyFill="1" applyBorder="1" applyAlignment="1" applyProtection="1">
      <alignment horizontal="center"/>
      <protection locked="0"/>
    </xf>
    <xf numFmtId="0" fontId="6" fillId="19" borderId="11" xfId="0" applyFont="1" applyFill="1" applyBorder="1" applyAlignment="1" applyProtection="1">
      <alignment horizontal="left" vertical="center"/>
    </xf>
    <xf numFmtId="0" fontId="0" fillId="19" borderId="0" xfId="0" applyFill="1"/>
    <xf numFmtId="0" fontId="37" fillId="11" borderId="5" xfId="2" applyFont="1" applyBorder="1" applyAlignment="1" applyProtection="1">
      <alignment horizontal="right"/>
    </xf>
    <xf numFmtId="0" fontId="22" fillId="0" borderId="7" xfId="0" applyFont="1" applyBorder="1" applyAlignment="1" applyProtection="1">
      <alignment horizontal="center"/>
    </xf>
    <xf numFmtId="0" fontId="14" fillId="0" borderId="0" xfId="0" applyFont="1"/>
    <xf numFmtId="0" fontId="1" fillId="4" borderId="5" xfId="0" applyNumberFormat="1" applyFont="1" applyFill="1" applyBorder="1" applyAlignment="1" applyProtection="1">
      <alignment horizontal="center"/>
    </xf>
    <xf numFmtId="0" fontId="1" fillId="4" borderId="27" xfId="0" applyNumberFormat="1" applyFont="1" applyFill="1" applyBorder="1" applyAlignment="1" applyProtection="1">
      <alignment horizontal="center"/>
    </xf>
    <xf numFmtId="0" fontId="48" fillId="23" borderId="11" xfId="0" applyNumberFormat="1" applyFont="1" applyFill="1" applyBorder="1" applyAlignment="1" applyProtection="1">
      <alignment horizontal="center"/>
    </xf>
    <xf numFmtId="0" fontId="37" fillId="11" borderId="5" xfId="2" applyFont="1" applyBorder="1" applyAlignment="1" applyProtection="1">
      <alignment horizontal="right"/>
    </xf>
    <xf numFmtId="0" fontId="22" fillId="0" borderId="7" xfId="0" applyFont="1" applyBorder="1" applyAlignment="1" applyProtection="1">
      <alignment horizontal="center"/>
    </xf>
    <xf numFmtId="49" fontId="0" fillId="0" borderId="0" xfId="0" applyNumberFormat="1" applyFont="1" applyBorder="1" applyAlignment="1" applyProtection="1">
      <alignment horizontal="left"/>
    </xf>
    <xf numFmtId="0" fontId="50" fillId="0" borderId="33" xfId="0" applyFont="1" applyBorder="1" applyAlignment="1">
      <alignment vertical="center" wrapText="1"/>
    </xf>
    <xf numFmtId="0" fontId="50" fillId="0" borderId="34" xfId="0" applyFont="1" applyBorder="1" applyAlignment="1">
      <alignment vertical="center" wrapText="1"/>
    </xf>
    <xf numFmtId="0" fontId="50" fillId="0" borderId="35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49" fillId="24" borderId="0" xfId="0" applyFont="1" applyFill="1"/>
    <xf numFmtId="0" fontId="49" fillId="24" borderId="32" xfId="0" applyFont="1" applyFill="1" applyBorder="1" applyAlignment="1">
      <alignment vertical="center"/>
    </xf>
    <xf numFmtId="0" fontId="22" fillId="0" borderId="7" xfId="0" applyFont="1" applyBorder="1" applyAlignment="1" applyProtection="1">
      <alignment horizontal="center"/>
    </xf>
    <xf numFmtId="0" fontId="40" fillId="0" borderId="2" xfId="0" applyFont="1" applyBorder="1" applyAlignment="1" applyProtection="1">
      <alignment horizontal="right"/>
    </xf>
    <xf numFmtId="0" fontId="40" fillId="0" borderId="4" xfId="0" applyFont="1" applyBorder="1" applyAlignment="1" applyProtection="1">
      <alignment horizontal="right"/>
    </xf>
    <xf numFmtId="0" fontId="1" fillId="0" borderId="7" xfId="0" applyFont="1" applyBorder="1" applyAlignment="1">
      <alignment horizontal="center"/>
    </xf>
    <xf numFmtId="0" fontId="1" fillId="4" borderId="14" xfId="0" applyNumberFormat="1" applyFont="1" applyFill="1" applyBorder="1" applyAlignment="1" applyProtection="1">
      <alignment horizontal="left"/>
    </xf>
    <xf numFmtId="0" fontId="1" fillId="4" borderId="15" xfId="0" applyNumberFormat="1" applyFont="1" applyFill="1" applyBorder="1" applyAlignment="1" applyProtection="1">
      <alignment horizontal="left"/>
    </xf>
    <xf numFmtId="0" fontId="31" fillId="0" borderId="14" xfId="0" applyFont="1" applyFill="1" applyBorder="1" applyAlignment="1" applyProtection="1">
      <alignment horizontal="right"/>
    </xf>
    <xf numFmtId="0" fontId="31" fillId="0" borderId="15" xfId="0" applyFont="1" applyFill="1" applyBorder="1" applyAlignment="1" applyProtection="1">
      <alignment horizontal="right"/>
    </xf>
    <xf numFmtId="0" fontId="24" fillId="0" borderId="14" xfId="0" applyFont="1" applyBorder="1" applyAlignment="1" applyProtection="1">
      <alignment horizontal="left"/>
    </xf>
    <xf numFmtId="0" fontId="24" fillId="0" borderId="15" xfId="0" applyFont="1" applyBorder="1" applyAlignment="1" applyProtection="1">
      <alignment horizontal="left"/>
    </xf>
    <xf numFmtId="0" fontId="37" fillId="11" borderId="5" xfId="2" applyFont="1" applyBorder="1" applyAlignment="1" applyProtection="1">
      <alignment horizontal="right"/>
    </xf>
    <xf numFmtId="0" fontId="37" fillId="11" borderId="12" xfId="2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center"/>
      <protection locked="0"/>
    </xf>
    <xf numFmtId="0" fontId="1" fillId="4" borderId="2" xfId="0" applyNumberFormat="1" applyFont="1" applyFill="1" applyBorder="1" applyAlignment="1" applyProtection="1">
      <alignment horizontal="left"/>
    </xf>
    <xf numFmtId="0" fontId="1" fillId="4" borderId="4" xfId="0" applyNumberFormat="1" applyFont="1" applyFill="1" applyBorder="1" applyAlignment="1" applyProtection="1">
      <alignment horizontal="left"/>
    </xf>
    <xf numFmtId="0" fontId="1" fillId="4" borderId="30" xfId="0" applyNumberFormat="1" applyFont="1" applyFill="1" applyBorder="1" applyAlignment="1" applyProtection="1">
      <alignment horizontal="left"/>
    </xf>
    <xf numFmtId="0" fontId="1" fillId="4" borderId="31" xfId="0" applyNumberFormat="1" applyFont="1" applyFill="1" applyBorder="1" applyAlignment="1" applyProtection="1">
      <alignment horizontal="left"/>
    </xf>
    <xf numFmtId="0" fontId="1" fillId="8" borderId="28" xfId="0" applyNumberFormat="1" applyFont="1" applyFill="1" applyBorder="1" applyAlignment="1" applyProtection="1">
      <alignment horizontal="center"/>
    </xf>
    <xf numFmtId="0" fontId="1" fillId="8" borderId="29" xfId="0" applyNumberFormat="1" applyFont="1" applyFill="1" applyBorder="1" applyAlignment="1" applyProtection="1">
      <alignment horizontal="center"/>
    </xf>
    <xf numFmtId="49" fontId="26" fillId="0" borderId="5" xfId="0" applyNumberFormat="1" applyFont="1" applyBorder="1" applyAlignment="1" applyProtection="1">
      <alignment horizontal="left"/>
    </xf>
    <xf numFmtId="0" fontId="17" fillId="13" borderId="16" xfId="0" applyFont="1" applyFill="1" applyBorder="1" applyAlignment="1" applyProtection="1">
      <alignment horizontal="center" vertical="center"/>
      <protection locked="0"/>
    </xf>
    <xf numFmtId="0" fontId="17" fillId="13" borderId="17" xfId="0" applyFont="1" applyFill="1" applyBorder="1" applyAlignment="1" applyProtection="1">
      <alignment horizontal="center" vertical="center"/>
      <protection locked="0"/>
    </xf>
    <xf numFmtId="0" fontId="17" fillId="13" borderId="18" xfId="0" applyFont="1" applyFill="1" applyBorder="1" applyAlignment="1" applyProtection="1">
      <alignment horizontal="center" vertical="center"/>
      <protection locked="0"/>
    </xf>
    <xf numFmtId="0" fontId="17" fillId="13" borderId="19" xfId="0" applyFont="1" applyFill="1" applyBorder="1" applyAlignment="1" applyProtection="1">
      <alignment horizontal="center" vertical="center"/>
      <protection locked="0"/>
    </xf>
    <xf numFmtId="0" fontId="17" fillId="13" borderId="5" xfId="0" applyFont="1" applyFill="1" applyBorder="1" applyAlignment="1" applyProtection="1">
      <alignment horizontal="center" vertical="center"/>
      <protection locked="0"/>
    </xf>
    <xf numFmtId="0" fontId="17" fillId="13" borderId="20" xfId="0" applyFont="1" applyFill="1" applyBorder="1" applyAlignment="1" applyProtection="1">
      <alignment horizontal="center" vertical="center"/>
      <protection locked="0"/>
    </xf>
    <xf numFmtId="49" fontId="26" fillId="0" borderId="5" xfId="0" applyNumberFormat="1" applyFont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6" fillId="19" borderId="2" xfId="0" applyFont="1" applyFill="1" applyBorder="1" applyAlignment="1" applyProtection="1">
      <alignment horizontal="center" vertical="center"/>
    </xf>
    <xf numFmtId="0" fontId="6" fillId="19" borderId="3" xfId="0" applyFont="1" applyFill="1" applyBorder="1" applyAlignment="1" applyProtection="1">
      <alignment horizontal="center" vertical="center"/>
    </xf>
    <xf numFmtId="0" fontId="6" fillId="19" borderId="4" xfId="0" applyFont="1" applyFill="1" applyBorder="1" applyAlignment="1" applyProtection="1">
      <alignment horizontal="center" vertical="center"/>
    </xf>
  </cellXfs>
  <cellStyles count="4">
    <cellStyle name="Accent6" xfId="2" builtinId="49"/>
    <cellStyle name="Normal" xfId="0" builtinId="0"/>
    <cellStyle name="Note" xfId="1" builtinId="10"/>
    <cellStyle name="Standaard 2" xfId="3"/>
  </cellStyles>
  <dxfs count="16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auto="1"/>
      </font>
      <fill>
        <patternFill>
          <bgColor rgb="FF00B05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auto="1"/>
      </font>
      <fill>
        <patternFill>
          <bgColor rgb="FF00B05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1"/>
      </font>
      <fill>
        <patternFill>
          <bgColor rgb="FF00B05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1343026</xdr:colOff>
      <xdr:row>0</xdr:row>
      <xdr:rowOff>228600</xdr:rowOff>
    </xdr:from>
    <xdr:to>
      <xdr:col>11</xdr:col>
      <xdr:colOff>76201</xdr:colOff>
      <xdr:row>3</xdr:row>
      <xdr:rowOff>58745</xdr:rowOff>
    </xdr:to>
    <xdr:pic>
      <xdr:nvPicPr>
        <xdr:cNvPr id="3" name="Picture 5" descr="http://www.ru.nl/views/ru-baseline/images/extra/logo-l-u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1" y="228600"/>
          <a:ext cx="2762250" cy="5540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</xdr:row>
          <xdr:rowOff>19050</xdr:rowOff>
        </xdr:from>
        <xdr:to>
          <xdr:col>6</xdr:col>
          <xdr:colOff>914400</xdr:colOff>
          <xdr:row>6</xdr:row>
          <xdr:rowOff>57150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4</xdr:row>
          <xdr:rowOff>95250</xdr:rowOff>
        </xdr:from>
        <xdr:to>
          <xdr:col>11</xdr:col>
          <xdr:colOff>2457450</xdr:colOff>
          <xdr:row>7</xdr:row>
          <xdr:rowOff>142875</xdr:rowOff>
        </xdr:to>
        <xdr:sp macro="" textlink="">
          <xdr:nvSpPr>
            <xdr:cNvPr id="1036" name="CommandButton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8</xdr:row>
          <xdr:rowOff>171450</xdr:rowOff>
        </xdr:from>
        <xdr:to>
          <xdr:col>11</xdr:col>
          <xdr:colOff>2466975</xdr:colOff>
          <xdr:row>11</xdr:row>
          <xdr:rowOff>171450</xdr:rowOff>
        </xdr:to>
        <xdr:sp macro="" textlink="">
          <xdr:nvSpPr>
            <xdr:cNvPr id="1037" name="CommandButton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142875</xdr:rowOff>
        </xdr:from>
        <xdr:to>
          <xdr:col>11</xdr:col>
          <xdr:colOff>1057275</xdr:colOff>
          <xdr:row>47</xdr:row>
          <xdr:rowOff>47625</xdr:rowOff>
        </xdr:to>
        <xdr:sp macro="" textlink="">
          <xdr:nvSpPr>
            <xdr:cNvPr id="1038" name="CommandButton_Minor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4</xdr:row>
          <xdr:rowOff>161925</xdr:rowOff>
        </xdr:from>
        <xdr:to>
          <xdr:col>15</xdr:col>
          <xdr:colOff>352425</xdr:colOff>
          <xdr:row>7</xdr:row>
          <xdr:rowOff>133350</xdr:rowOff>
        </xdr:to>
        <xdr:sp macro="" textlink="">
          <xdr:nvSpPr>
            <xdr:cNvPr id="1039" name="CommandButton_AdminMode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9</xdr:row>
          <xdr:rowOff>19050</xdr:rowOff>
        </xdr:from>
        <xdr:to>
          <xdr:col>15</xdr:col>
          <xdr:colOff>361950</xdr:colOff>
          <xdr:row>11</xdr:row>
          <xdr:rowOff>180975</xdr:rowOff>
        </xdr:to>
        <xdr:sp macro="" textlink="">
          <xdr:nvSpPr>
            <xdr:cNvPr id="1040" name="CommandButton_Lock_And_Hide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9525</xdr:rowOff>
        </xdr:from>
        <xdr:to>
          <xdr:col>1</xdr:col>
          <xdr:colOff>4257675</xdr:colOff>
          <xdr:row>7</xdr:row>
          <xdr:rowOff>19050</xdr:rowOff>
        </xdr:to>
        <xdr:sp macro="" textlink="">
          <xdr:nvSpPr>
            <xdr:cNvPr id="3073" name="CommandButton_Test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836"/>
  <sheetViews>
    <sheetView showGridLines="0" tabSelected="1" zoomScaleNormal="100" workbookViewId="0">
      <selection activeCell="C6" sqref="C6"/>
    </sheetView>
  </sheetViews>
  <sheetFormatPr defaultColWidth="9.140625" defaultRowHeight="15"/>
  <cols>
    <col min="1" max="1" width="9.140625" style="4"/>
    <col min="2" max="2" width="19.28515625" style="1" customWidth="1"/>
    <col min="3" max="3" width="35.7109375" style="1" customWidth="1"/>
    <col min="4" max="4" width="5.7109375" style="10" customWidth="1"/>
    <col min="5" max="5" width="13.42578125" style="1" customWidth="1"/>
    <col min="6" max="6" width="17.7109375" style="1" customWidth="1"/>
    <col min="7" max="7" width="32.7109375" style="10" customWidth="1"/>
    <col min="8" max="8" width="5.7109375" style="1" customWidth="1"/>
    <col min="9" max="9" width="3.7109375" style="1" customWidth="1"/>
    <col min="10" max="11" width="9.140625" style="1"/>
    <col min="12" max="12" width="39.7109375" style="1" customWidth="1"/>
    <col min="13" max="15" width="9.140625" style="1" customWidth="1"/>
    <col min="16" max="18" width="9.140625" style="1"/>
    <col min="19" max="19" width="12.140625" style="1" bestFit="1" customWidth="1"/>
    <col min="20" max="16384" width="9.140625" style="1"/>
  </cols>
  <sheetData>
    <row r="1" spans="1:16" s="18" customFormat="1" ht="26.25" customHeight="1">
      <c r="A1" s="26"/>
      <c r="B1" s="31" t="s">
        <v>360</v>
      </c>
      <c r="D1" s="10"/>
      <c r="G1" s="10"/>
    </row>
    <row r="2" spans="1:16" s="18" customFormat="1" ht="15.75" thickBot="1">
      <c r="C2" s="18" t="s">
        <v>248</v>
      </c>
      <c r="D2" s="10"/>
      <c r="G2" s="10"/>
    </row>
    <row r="3" spans="1:16" s="18" customFormat="1">
      <c r="C3" s="26" t="s">
        <v>10</v>
      </c>
      <c r="D3" s="10"/>
      <c r="G3" s="10"/>
      <c r="M3" s="318" t="s">
        <v>251</v>
      </c>
      <c r="N3" s="319"/>
      <c r="O3" s="319"/>
      <c r="P3" s="320"/>
    </row>
    <row r="4" spans="1:16" s="4" customFormat="1">
      <c r="D4" s="10"/>
      <c r="G4" s="10"/>
      <c r="M4" s="321"/>
      <c r="N4" s="322"/>
      <c r="O4" s="322"/>
      <c r="P4" s="323"/>
    </row>
    <row r="5" spans="1:16">
      <c r="A5"/>
      <c r="B5" s="24"/>
      <c r="C5" s="43" t="s">
        <v>21</v>
      </c>
      <c r="D5"/>
      <c r="E5"/>
      <c r="F5"/>
      <c r="G5"/>
      <c r="M5" s="194"/>
      <c r="N5" s="195"/>
      <c r="O5" s="195"/>
      <c r="P5" s="196"/>
    </row>
    <row r="6" spans="1:16" s="26" customFormat="1">
      <c r="A6" s="25"/>
      <c r="B6" s="24"/>
      <c r="C6" s="32" t="s">
        <v>382</v>
      </c>
      <c r="D6" s="25"/>
      <c r="E6" s="25"/>
      <c r="F6" s="25"/>
      <c r="G6" s="25"/>
      <c r="M6" s="194"/>
      <c r="N6" s="195"/>
      <c r="O6" s="195"/>
      <c r="P6" s="196"/>
    </row>
    <row r="7" spans="1:16" s="26" customFormat="1">
      <c r="A7" s="25"/>
      <c r="B7" s="24"/>
      <c r="C7" s="127"/>
      <c r="D7" s="25"/>
      <c r="E7" s="25"/>
      <c r="F7" s="25"/>
      <c r="G7" s="25"/>
      <c r="M7" s="194"/>
      <c r="N7" s="195"/>
      <c r="O7" s="195"/>
      <c r="P7" s="196"/>
    </row>
    <row r="8" spans="1:16" s="26" customFormat="1">
      <c r="A8" s="25"/>
      <c r="B8" s="24"/>
      <c r="C8" s="127"/>
      <c r="D8" s="25"/>
      <c r="E8" s="25"/>
      <c r="F8" s="25"/>
      <c r="G8" s="25"/>
      <c r="M8" s="194"/>
      <c r="N8" s="195"/>
      <c r="O8" s="195"/>
      <c r="P8" s="196"/>
    </row>
    <row r="9" spans="1:16" s="26" customFormat="1">
      <c r="A9" s="25"/>
      <c r="B9" s="24"/>
      <c r="C9" s="127"/>
      <c r="D9" s="25"/>
      <c r="E9" s="25"/>
      <c r="F9" s="25"/>
      <c r="G9" s="25"/>
      <c r="M9" s="194"/>
      <c r="N9" s="195"/>
      <c r="O9" s="195"/>
      <c r="P9" s="196"/>
    </row>
    <row r="10" spans="1:16" s="26" customFormat="1">
      <c r="A10" s="25"/>
      <c r="B10" s="24"/>
      <c r="C10" s="127"/>
      <c r="D10" s="25"/>
      <c r="E10" s="25"/>
      <c r="F10" s="25"/>
      <c r="G10" s="25"/>
      <c r="M10" s="194"/>
      <c r="N10" s="195"/>
      <c r="O10" s="195"/>
      <c r="P10" s="196"/>
    </row>
    <row r="11" spans="1:16" s="26" customFormat="1">
      <c r="A11" s="25"/>
      <c r="B11" s="24"/>
      <c r="C11" s="127"/>
      <c r="D11" s="25"/>
      <c r="E11" s="25"/>
      <c r="F11" s="25"/>
      <c r="G11" s="25"/>
      <c r="M11" s="194"/>
      <c r="N11" s="195"/>
      <c r="O11" s="195"/>
      <c r="P11" s="196"/>
    </row>
    <row r="12" spans="1:16" s="26" customFormat="1">
      <c r="A12"/>
      <c r="B12"/>
      <c r="C12"/>
      <c r="D12"/>
      <c r="E12"/>
      <c r="F12"/>
      <c r="G12"/>
      <c r="H12"/>
      <c r="I12"/>
      <c r="J12"/>
      <c r="K12"/>
      <c r="M12" s="194"/>
      <c r="N12" s="195"/>
      <c r="O12" s="195"/>
      <c r="P12" s="196"/>
    </row>
    <row r="13" spans="1:16" s="26" customFormat="1">
      <c r="A13"/>
      <c r="B13"/>
      <c r="C13"/>
      <c r="D13"/>
      <c r="E13"/>
      <c r="F13"/>
      <c r="G13"/>
      <c r="H13"/>
      <c r="I13"/>
      <c r="J13"/>
      <c r="K13"/>
      <c r="M13" s="194"/>
      <c r="N13" s="195"/>
      <c r="O13" s="195"/>
      <c r="P13" s="196"/>
    </row>
    <row r="14" spans="1:16" s="26" customFormat="1">
      <c r="A14"/>
      <c r="B14"/>
      <c r="C14"/>
      <c r="D14"/>
      <c r="E14"/>
      <c r="F14"/>
      <c r="G14"/>
      <c r="H14"/>
      <c r="I14"/>
      <c r="J14"/>
      <c r="K14"/>
      <c r="M14" s="194"/>
      <c r="N14" s="195"/>
      <c r="O14" s="195"/>
      <c r="P14" s="196"/>
    </row>
    <row r="15" spans="1:16" s="26" customFormat="1">
      <c r="A15"/>
      <c r="B15"/>
      <c r="C15"/>
      <c r="D15"/>
      <c r="E15"/>
      <c r="F15"/>
      <c r="G15"/>
      <c r="H15"/>
      <c r="I15"/>
      <c r="J15"/>
      <c r="K15"/>
      <c r="M15" s="194"/>
      <c r="N15" s="195"/>
      <c r="O15" s="195"/>
      <c r="P15" s="196"/>
    </row>
    <row r="16" spans="1:16" s="26" customFormat="1">
      <c r="A16"/>
      <c r="B16"/>
      <c r="C16"/>
      <c r="D16"/>
      <c r="E16"/>
      <c r="F16"/>
      <c r="G16"/>
      <c r="H16"/>
      <c r="I16"/>
      <c r="J16"/>
      <c r="K16"/>
      <c r="M16" s="194"/>
      <c r="N16" s="195"/>
      <c r="O16" s="195"/>
      <c r="P16" s="196"/>
    </row>
    <row r="17" spans="1:16" s="26" customFormat="1">
      <c r="A17"/>
      <c r="B17"/>
      <c r="C17"/>
      <c r="D17"/>
      <c r="E17"/>
      <c r="F17"/>
      <c r="G17"/>
      <c r="H17"/>
      <c r="I17"/>
      <c r="J17"/>
      <c r="K17"/>
      <c r="M17" s="194"/>
      <c r="N17" s="195"/>
      <c r="O17" s="195"/>
      <c r="P17" s="196"/>
    </row>
    <row r="18" spans="1:16" s="26" customFormat="1" ht="15.75" thickBot="1">
      <c r="A18"/>
      <c r="B18"/>
      <c r="C18"/>
      <c r="D18"/>
      <c r="E18"/>
      <c r="F18"/>
      <c r="G18"/>
      <c r="H18"/>
      <c r="I18"/>
      <c r="J18"/>
      <c r="K18"/>
      <c r="M18" s="197"/>
      <c r="N18" s="198"/>
      <c r="O18" s="198"/>
      <c r="P18" s="199"/>
    </row>
    <row r="19" spans="1:16" s="26" customFormat="1">
      <c r="A19"/>
      <c r="B19"/>
      <c r="C19"/>
      <c r="D19"/>
      <c r="E19"/>
      <c r="F19"/>
      <c r="G19"/>
      <c r="H19"/>
      <c r="I19"/>
      <c r="J19"/>
      <c r="K19"/>
    </row>
    <row r="20" spans="1:16" s="26" customFormat="1">
      <c r="A20"/>
      <c r="B20"/>
      <c r="C20"/>
      <c r="D20"/>
      <c r="E20"/>
      <c r="F20"/>
      <c r="G20"/>
      <c r="H20"/>
      <c r="I20"/>
      <c r="J20"/>
      <c r="K20"/>
    </row>
    <row r="21" spans="1:16" s="26" customFormat="1">
      <c r="A21"/>
      <c r="B21"/>
      <c r="C21"/>
      <c r="D21"/>
      <c r="E21"/>
      <c r="F21"/>
      <c r="G21"/>
      <c r="H21"/>
      <c r="I21"/>
      <c r="J21"/>
      <c r="K21"/>
    </row>
    <row r="22" spans="1:16" s="26" customFormat="1">
      <c r="A22"/>
      <c r="B22"/>
      <c r="C22"/>
      <c r="D22"/>
      <c r="E22"/>
      <c r="F22"/>
      <c r="G22"/>
      <c r="H22"/>
      <c r="I22"/>
      <c r="J22"/>
      <c r="K22"/>
    </row>
    <row r="23" spans="1:16" s="26" customFormat="1">
      <c r="A23"/>
      <c r="B23"/>
      <c r="C23"/>
      <c r="D23"/>
      <c r="E23"/>
      <c r="F23"/>
      <c r="G23"/>
      <c r="H23"/>
      <c r="I23"/>
      <c r="J23"/>
      <c r="K23"/>
    </row>
    <row r="24" spans="1:16" s="26" customFormat="1">
      <c r="A24"/>
      <c r="B24"/>
      <c r="C24"/>
      <c r="D24"/>
      <c r="E24"/>
      <c r="F24"/>
      <c r="G24"/>
      <c r="H24"/>
      <c r="I24"/>
      <c r="J24"/>
      <c r="K24"/>
    </row>
    <row r="25" spans="1:16" s="26" customFormat="1">
      <c r="A25"/>
      <c r="B25"/>
      <c r="C25"/>
      <c r="D25"/>
      <c r="E25"/>
      <c r="F25"/>
      <c r="G25"/>
      <c r="H25"/>
      <c r="I25"/>
      <c r="J25"/>
      <c r="K25"/>
    </row>
    <row r="26" spans="1:16" s="26" customFormat="1">
      <c r="A26"/>
      <c r="B26"/>
      <c r="C26"/>
      <c r="D26"/>
      <c r="E26"/>
      <c r="F26"/>
      <c r="G26"/>
      <c r="H26"/>
      <c r="I26"/>
      <c r="J26"/>
      <c r="K26"/>
    </row>
    <row r="27" spans="1:16" s="26" customFormat="1">
      <c r="A27"/>
      <c r="B27"/>
      <c r="C27"/>
      <c r="D27"/>
      <c r="E27"/>
      <c r="F27"/>
      <c r="G27"/>
      <c r="H27"/>
      <c r="I27"/>
      <c r="J27"/>
      <c r="K27"/>
    </row>
    <row r="28" spans="1:16" s="26" customFormat="1">
      <c r="A28"/>
      <c r="B28"/>
      <c r="C28"/>
      <c r="D28"/>
      <c r="E28"/>
      <c r="F28"/>
      <c r="G28"/>
      <c r="H28"/>
      <c r="I28"/>
      <c r="J28"/>
      <c r="K28"/>
    </row>
    <row r="29" spans="1:16" s="26" customFormat="1">
      <c r="A29"/>
      <c r="B29"/>
      <c r="C29"/>
      <c r="D29"/>
      <c r="E29"/>
      <c r="F29"/>
      <c r="G29"/>
      <c r="H29"/>
      <c r="I29"/>
      <c r="J29"/>
      <c r="K29"/>
    </row>
    <row r="30" spans="1:16" s="26" customFormat="1">
      <c r="A30"/>
      <c r="B30"/>
      <c r="C30"/>
      <c r="D30"/>
      <c r="E30"/>
      <c r="F30"/>
      <c r="G30"/>
      <c r="H30"/>
      <c r="I30"/>
      <c r="J30"/>
      <c r="K30"/>
    </row>
    <row r="31" spans="1:16" s="26" customFormat="1">
      <c r="A31"/>
      <c r="B31"/>
      <c r="C31"/>
      <c r="D31"/>
      <c r="E31"/>
      <c r="F31"/>
      <c r="G31"/>
      <c r="H31"/>
      <c r="I31"/>
      <c r="J31"/>
      <c r="K31"/>
    </row>
    <row r="32" spans="1:16" s="26" customFormat="1">
      <c r="A32"/>
      <c r="B32"/>
      <c r="C32"/>
      <c r="D32"/>
      <c r="E32"/>
      <c r="F32"/>
      <c r="G32"/>
      <c r="H32"/>
      <c r="I32"/>
      <c r="J32"/>
      <c r="K32"/>
    </row>
    <row r="33" spans="1:11" s="26" customFormat="1">
      <c r="A33"/>
      <c r="B33"/>
      <c r="C33"/>
      <c r="D33"/>
      <c r="E33"/>
      <c r="F33"/>
      <c r="G33"/>
      <c r="H33"/>
      <c r="I33"/>
      <c r="J33"/>
      <c r="K33"/>
    </row>
    <row r="34" spans="1:11" s="26" customFormat="1">
      <c r="A34"/>
      <c r="B34"/>
      <c r="C34"/>
      <c r="D34"/>
      <c r="E34"/>
      <c r="F34"/>
      <c r="G34"/>
      <c r="H34"/>
      <c r="I34"/>
      <c r="J34"/>
      <c r="K34"/>
    </row>
    <row r="35" spans="1:11" s="26" customFormat="1">
      <c r="A35"/>
      <c r="B35"/>
      <c r="C35"/>
      <c r="D35"/>
      <c r="E35"/>
      <c r="F35"/>
      <c r="G35"/>
      <c r="H35"/>
      <c r="I35"/>
      <c r="J35"/>
      <c r="K35"/>
    </row>
    <row r="36" spans="1:11" s="26" customFormat="1">
      <c r="A36"/>
      <c r="B36"/>
      <c r="C36"/>
      <c r="D36"/>
      <c r="E36"/>
      <c r="F36"/>
      <c r="G36"/>
      <c r="H36"/>
      <c r="I36"/>
      <c r="J36"/>
      <c r="K36"/>
    </row>
    <row r="37" spans="1:11" s="26" customFormat="1">
      <c r="A37"/>
      <c r="B37"/>
      <c r="C37"/>
      <c r="D37"/>
      <c r="E37"/>
      <c r="F37"/>
      <c r="G37"/>
      <c r="H37"/>
      <c r="I37"/>
      <c r="J37"/>
      <c r="K37"/>
    </row>
    <row r="38" spans="1:11" s="26" customFormat="1">
      <c r="A38"/>
      <c r="B38"/>
      <c r="C38"/>
      <c r="D38"/>
      <c r="E38"/>
      <c r="F38"/>
      <c r="G38"/>
      <c r="H38"/>
      <c r="I38"/>
      <c r="J38"/>
      <c r="K38"/>
    </row>
    <row r="39" spans="1:11" s="26" customFormat="1">
      <c r="A39"/>
      <c r="B39"/>
      <c r="C39"/>
      <c r="D39"/>
      <c r="E39"/>
      <c r="F39"/>
      <c r="G39"/>
      <c r="H39"/>
      <c r="I39"/>
      <c r="J39"/>
      <c r="K39"/>
    </row>
    <row r="40" spans="1:11" s="26" customFormat="1">
      <c r="A40"/>
      <c r="B40"/>
      <c r="C40"/>
      <c r="D40"/>
      <c r="E40"/>
      <c r="F40"/>
      <c r="G40"/>
      <c r="H40"/>
      <c r="I40"/>
      <c r="J40"/>
      <c r="K40"/>
    </row>
    <row r="41" spans="1:11" s="26" customFormat="1">
      <c r="A41"/>
      <c r="B41"/>
      <c r="C41"/>
      <c r="D41"/>
      <c r="E41"/>
      <c r="F41"/>
      <c r="G41"/>
      <c r="H41"/>
      <c r="I41"/>
      <c r="J41"/>
      <c r="K41"/>
    </row>
    <row r="42" spans="1:11" s="26" customFormat="1">
      <c r="A42"/>
      <c r="B42"/>
      <c r="C42"/>
      <c r="D42"/>
      <c r="E42"/>
      <c r="F42"/>
      <c r="G42"/>
      <c r="H42"/>
      <c r="I42"/>
      <c r="J42"/>
      <c r="K42"/>
    </row>
    <row r="43" spans="1:11" s="26" customFormat="1">
      <c r="A43"/>
      <c r="B43"/>
      <c r="C43"/>
      <c r="D43"/>
      <c r="E43"/>
      <c r="F43"/>
      <c r="G43"/>
      <c r="H43"/>
      <c r="I43"/>
      <c r="J43"/>
      <c r="K43"/>
    </row>
    <row r="44" spans="1:11" s="26" customFormat="1">
      <c r="A44"/>
      <c r="B44"/>
      <c r="C44"/>
      <c r="D44"/>
      <c r="E44"/>
      <c r="F44"/>
      <c r="G44"/>
      <c r="H44"/>
      <c r="I44"/>
      <c r="J44"/>
      <c r="K44"/>
    </row>
    <row r="45" spans="1:11" s="26" customFormat="1">
      <c r="A45"/>
      <c r="B45"/>
      <c r="C45"/>
      <c r="D45"/>
      <c r="E45"/>
      <c r="F45"/>
      <c r="G45"/>
      <c r="H45"/>
      <c r="I45"/>
      <c r="J45"/>
      <c r="K45"/>
    </row>
    <row r="46" spans="1:11" s="26" customFormat="1">
      <c r="A46"/>
      <c r="B46"/>
      <c r="C46"/>
      <c r="D46"/>
      <c r="E46"/>
      <c r="F46"/>
      <c r="G46"/>
      <c r="H46"/>
      <c r="I46"/>
      <c r="J46"/>
      <c r="K46"/>
    </row>
    <row r="47" spans="1:11" s="26" customFormat="1">
      <c r="A47"/>
      <c r="B47"/>
      <c r="C47"/>
      <c r="D47"/>
      <c r="E47"/>
      <c r="F47"/>
      <c r="G47"/>
      <c r="H47"/>
      <c r="I47"/>
      <c r="J47"/>
      <c r="K47"/>
    </row>
    <row r="48" spans="1:11" s="26" customFormat="1">
      <c r="A48"/>
      <c r="B48"/>
      <c r="C48"/>
      <c r="D48"/>
      <c r="E48"/>
      <c r="F48"/>
      <c r="G48"/>
      <c r="H48"/>
      <c r="I48"/>
      <c r="J48"/>
      <c r="K48"/>
    </row>
    <row r="49" spans="1:11" s="26" customFormat="1">
      <c r="A49"/>
      <c r="B49"/>
      <c r="C49"/>
      <c r="D49"/>
      <c r="E49"/>
      <c r="F49"/>
      <c r="G49"/>
      <c r="H49"/>
      <c r="I49"/>
      <c r="J49"/>
      <c r="K49"/>
    </row>
    <row r="50" spans="1:11" s="26" customFormat="1">
      <c r="A50"/>
      <c r="B50"/>
      <c r="C50"/>
      <c r="D50"/>
      <c r="E50"/>
      <c r="F50"/>
      <c r="G50"/>
      <c r="H50"/>
      <c r="I50"/>
      <c r="J50"/>
      <c r="K50"/>
    </row>
    <row r="51" spans="1:11" s="26" customFormat="1">
      <c r="A51"/>
      <c r="B51"/>
      <c r="C51"/>
      <c r="D51"/>
      <c r="E51"/>
      <c r="F51"/>
      <c r="G51"/>
      <c r="H51"/>
      <c r="I51"/>
      <c r="J51"/>
      <c r="K51"/>
    </row>
    <row r="52" spans="1:11" s="26" customFormat="1">
      <c r="A52"/>
      <c r="B52"/>
      <c r="C52"/>
      <c r="D52"/>
      <c r="E52"/>
      <c r="F52"/>
      <c r="G52"/>
      <c r="H52"/>
      <c r="I52"/>
      <c r="J52"/>
      <c r="K52"/>
    </row>
    <row r="53" spans="1:11" s="26" customFormat="1">
      <c r="A53"/>
      <c r="B53"/>
      <c r="C53"/>
      <c r="D53"/>
      <c r="E53"/>
      <c r="F53"/>
      <c r="G53"/>
      <c r="H53"/>
      <c r="I53"/>
      <c r="J53"/>
      <c r="K53"/>
    </row>
    <row r="54" spans="1:11" s="26" customFormat="1">
      <c r="A54"/>
      <c r="B54"/>
      <c r="C54"/>
      <c r="D54"/>
      <c r="E54"/>
      <c r="F54"/>
      <c r="G54"/>
      <c r="H54"/>
      <c r="I54"/>
      <c r="J54"/>
      <c r="K54"/>
    </row>
    <row r="55" spans="1:11" s="26" customFormat="1">
      <c r="A55"/>
      <c r="B55"/>
      <c r="C55"/>
      <c r="D55"/>
      <c r="E55"/>
      <c r="F55"/>
      <c r="G55"/>
      <c r="H55"/>
      <c r="I55"/>
      <c r="J55"/>
      <c r="K55"/>
    </row>
    <row r="56" spans="1:11" s="26" customFormat="1">
      <c r="A56"/>
      <c r="B56"/>
      <c r="C56"/>
      <c r="D56"/>
      <c r="E56"/>
      <c r="F56"/>
      <c r="G56"/>
      <c r="H56"/>
      <c r="I56"/>
      <c r="J56"/>
      <c r="K56"/>
    </row>
    <row r="57" spans="1:11" s="26" customFormat="1">
      <c r="A57"/>
      <c r="B57"/>
      <c r="C57"/>
      <c r="D57"/>
      <c r="E57"/>
      <c r="F57"/>
      <c r="G57"/>
      <c r="H57"/>
      <c r="I57"/>
      <c r="J57"/>
      <c r="K57"/>
    </row>
    <row r="58" spans="1:11" s="26" customFormat="1">
      <c r="A58"/>
      <c r="B58"/>
      <c r="C58"/>
      <c r="D58"/>
      <c r="E58"/>
      <c r="F58"/>
      <c r="G58"/>
      <c r="H58"/>
      <c r="I58"/>
      <c r="J58"/>
      <c r="K58"/>
    </row>
    <row r="59" spans="1:11" s="26" customFormat="1">
      <c r="A59"/>
      <c r="B59"/>
      <c r="C59"/>
      <c r="D59"/>
      <c r="E59"/>
      <c r="F59"/>
      <c r="G59"/>
      <c r="H59"/>
      <c r="I59"/>
      <c r="J59"/>
      <c r="K59"/>
    </row>
    <row r="60" spans="1:11" s="26" customFormat="1">
      <c r="A60"/>
      <c r="B60"/>
      <c r="C60"/>
      <c r="D60"/>
      <c r="E60"/>
      <c r="F60"/>
      <c r="G60"/>
      <c r="H60"/>
      <c r="I60"/>
      <c r="J60"/>
      <c r="K60"/>
    </row>
    <row r="61" spans="1:11" s="26" customFormat="1">
      <c r="A61"/>
      <c r="B61"/>
      <c r="C61"/>
      <c r="D61"/>
      <c r="E61"/>
      <c r="F61"/>
      <c r="G61"/>
      <c r="H61"/>
      <c r="I61"/>
      <c r="J61"/>
      <c r="K61"/>
    </row>
    <row r="62" spans="1:11" s="26" customFormat="1">
      <c r="A62"/>
      <c r="B62"/>
      <c r="C62"/>
      <c r="D62"/>
      <c r="E62"/>
      <c r="F62"/>
      <c r="G62"/>
      <c r="H62"/>
      <c r="I62"/>
      <c r="J62"/>
      <c r="K62"/>
    </row>
    <row r="63" spans="1:11" s="26" customFormat="1">
      <c r="A63"/>
      <c r="B63"/>
      <c r="C63"/>
      <c r="D63"/>
      <c r="E63"/>
      <c r="F63"/>
      <c r="G63"/>
      <c r="H63"/>
      <c r="I63"/>
      <c r="J63"/>
      <c r="K63"/>
    </row>
    <row r="64" spans="1:11" s="26" customFormat="1">
      <c r="A64"/>
      <c r="B64"/>
      <c r="C64"/>
      <c r="D64"/>
      <c r="E64"/>
      <c r="F64"/>
      <c r="G64"/>
      <c r="H64"/>
      <c r="I64"/>
      <c r="J64"/>
      <c r="K64"/>
    </row>
    <row r="65" spans="1:11" s="26" customFormat="1">
      <c r="A65"/>
      <c r="B65"/>
      <c r="C65"/>
      <c r="D65"/>
      <c r="E65"/>
      <c r="F65"/>
      <c r="G65"/>
      <c r="H65"/>
      <c r="I65"/>
      <c r="J65"/>
      <c r="K65"/>
    </row>
    <row r="66" spans="1:11" s="26" customFormat="1">
      <c r="A66"/>
      <c r="B66"/>
      <c r="C66"/>
      <c r="D66"/>
      <c r="E66"/>
      <c r="F66"/>
      <c r="G66"/>
      <c r="H66"/>
      <c r="I66"/>
      <c r="J66"/>
      <c r="K66"/>
    </row>
    <row r="67" spans="1:11" s="26" customFormat="1">
      <c r="A67"/>
      <c r="B67"/>
      <c r="C67"/>
      <c r="D67"/>
      <c r="E67"/>
      <c r="F67"/>
      <c r="G67"/>
      <c r="H67"/>
      <c r="I67"/>
      <c r="J67"/>
      <c r="K67"/>
    </row>
    <row r="68" spans="1:11" s="26" customFormat="1">
      <c r="A68"/>
      <c r="B68"/>
      <c r="C68"/>
      <c r="D68"/>
      <c r="E68"/>
      <c r="F68"/>
      <c r="G68"/>
      <c r="H68"/>
      <c r="I68"/>
      <c r="J68"/>
      <c r="K68"/>
    </row>
    <row r="69" spans="1:11" s="26" customFormat="1">
      <c r="A69"/>
      <c r="B69"/>
      <c r="C69"/>
      <c r="D69"/>
      <c r="E69"/>
      <c r="F69"/>
      <c r="G69"/>
      <c r="H69"/>
      <c r="I69"/>
      <c r="J69"/>
      <c r="K69"/>
    </row>
    <row r="70" spans="1:11" s="26" customFormat="1">
      <c r="A70"/>
      <c r="B70"/>
      <c r="C70"/>
      <c r="D70"/>
      <c r="E70"/>
      <c r="F70"/>
      <c r="G70"/>
      <c r="H70"/>
      <c r="I70"/>
      <c r="J70"/>
      <c r="K70"/>
    </row>
    <row r="71" spans="1:11" s="26" customFormat="1">
      <c r="A71"/>
      <c r="B71"/>
      <c r="C71"/>
      <c r="D71"/>
      <c r="E71"/>
      <c r="F71"/>
      <c r="G71"/>
      <c r="H71"/>
      <c r="I71"/>
      <c r="J71"/>
      <c r="K71"/>
    </row>
    <row r="72" spans="1:11" s="26" customFormat="1">
      <c r="A72"/>
      <c r="B72"/>
      <c r="C72"/>
      <c r="D72"/>
      <c r="E72"/>
      <c r="F72"/>
      <c r="G72"/>
      <c r="H72"/>
      <c r="I72"/>
      <c r="J72"/>
      <c r="K72"/>
    </row>
    <row r="73" spans="1:11" s="26" customFormat="1">
      <c r="A73"/>
      <c r="B73"/>
      <c r="C73"/>
      <c r="D73"/>
      <c r="E73"/>
      <c r="F73"/>
      <c r="G73"/>
      <c r="H73"/>
      <c r="I73"/>
      <c r="J73"/>
      <c r="K73"/>
    </row>
    <row r="74" spans="1:11" s="26" customFormat="1">
      <c r="A74"/>
      <c r="B74"/>
      <c r="C74"/>
      <c r="D74"/>
      <c r="E74"/>
      <c r="F74"/>
      <c r="G74"/>
      <c r="H74"/>
      <c r="I74"/>
      <c r="J74"/>
      <c r="K74"/>
    </row>
    <row r="75" spans="1:11" s="26" customFormat="1">
      <c r="A75"/>
      <c r="B75"/>
      <c r="C75"/>
      <c r="D75"/>
      <c r="E75"/>
      <c r="F75"/>
      <c r="G75"/>
      <c r="H75"/>
      <c r="I75"/>
      <c r="J75"/>
      <c r="K75"/>
    </row>
    <row r="76" spans="1:11" s="26" customFormat="1">
      <c r="A76"/>
      <c r="B76"/>
      <c r="C76"/>
      <c r="D76"/>
      <c r="E76"/>
      <c r="F76"/>
      <c r="G76"/>
      <c r="H76"/>
      <c r="I76"/>
      <c r="J76"/>
      <c r="K76"/>
    </row>
    <row r="77" spans="1:11" s="26" customFormat="1">
      <c r="A77"/>
      <c r="B77"/>
      <c r="C77"/>
      <c r="D77"/>
      <c r="E77"/>
      <c r="F77"/>
      <c r="G77"/>
      <c r="H77"/>
      <c r="I77"/>
      <c r="J77"/>
      <c r="K77"/>
    </row>
    <row r="78" spans="1:11" s="26" customFormat="1">
      <c r="A78"/>
      <c r="B78"/>
      <c r="C78"/>
      <c r="D78"/>
      <c r="E78"/>
      <c r="F78"/>
      <c r="G78"/>
      <c r="H78"/>
      <c r="I78"/>
      <c r="J78"/>
      <c r="K78"/>
    </row>
    <row r="79" spans="1:11" s="26" customFormat="1">
      <c r="A79"/>
      <c r="B79"/>
      <c r="C79"/>
      <c r="D79"/>
      <c r="E79"/>
      <c r="F79"/>
      <c r="G79"/>
      <c r="H79"/>
      <c r="I79"/>
      <c r="J79"/>
      <c r="K79"/>
    </row>
    <row r="80" spans="1:11" s="26" customFormat="1">
      <c r="A80"/>
      <c r="B80"/>
      <c r="C80"/>
      <c r="D80"/>
      <c r="E80"/>
      <c r="F80"/>
      <c r="G80"/>
      <c r="H80"/>
      <c r="I80"/>
      <c r="J80"/>
      <c r="K80"/>
    </row>
    <row r="81" spans="1:11" s="26" customFormat="1">
      <c r="A81"/>
      <c r="B81"/>
      <c r="C81"/>
      <c r="D81"/>
      <c r="E81"/>
      <c r="F81"/>
      <c r="G81"/>
      <c r="H81"/>
      <c r="I81"/>
      <c r="J81"/>
      <c r="K81"/>
    </row>
    <row r="82" spans="1:11" s="26" customFormat="1">
      <c r="A82"/>
      <c r="B82"/>
      <c r="C82"/>
      <c r="D82"/>
      <c r="E82"/>
      <c r="F82"/>
      <c r="G82"/>
      <c r="H82"/>
      <c r="I82"/>
      <c r="J82"/>
      <c r="K82"/>
    </row>
    <row r="83" spans="1:11" s="26" customFormat="1">
      <c r="A83"/>
      <c r="B83"/>
      <c r="C83"/>
      <c r="D83"/>
      <c r="E83"/>
      <c r="F83"/>
      <c r="G83"/>
      <c r="H83"/>
      <c r="I83"/>
      <c r="J83"/>
      <c r="K83"/>
    </row>
    <row r="84" spans="1:11" s="26" customFormat="1">
      <c r="A84"/>
      <c r="B84"/>
      <c r="C84"/>
      <c r="D84"/>
      <c r="E84"/>
      <c r="F84"/>
      <c r="G84"/>
      <c r="H84"/>
      <c r="I84"/>
      <c r="J84"/>
      <c r="K84"/>
    </row>
    <row r="85" spans="1:11" s="26" customFormat="1">
      <c r="A85"/>
      <c r="B85"/>
      <c r="C85"/>
      <c r="D85"/>
      <c r="E85"/>
      <c r="F85"/>
      <c r="G85"/>
      <c r="H85"/>
      <c r="I85"/>
      <c r="J85"/>
      <c r="K85"/>
    </row>
    <row r="86" spans="1:11" s="26" customFormat="1">
      <c r="A86"/>
      <c r="B86"/>
      <c r="C86"/>
      <c r="D86"/>
      <c r="E86"/>
      <c r="F86"/>
      <c r="G86"/>
      <c r="H86"/>
      <c r="I86"/>
      <c r="J86"/>
      <c r="K86"/>
    </row>
    <row r="87" spans="1:11" s="26" customFormat="1">
      <c r="A87"/>
      <c r="B87"/>
      <c r="C87"/>
      <c r="D87"/>
      <c r="E87"/>
      <c r="F87"/>
      <c r="G87"/>
      <c r="H87"/>
      <c r="I87"/>
      <c r="J87"/>
      <c r="K87"/>
    </row>
    <row r="88" spans="1:11" s="26" customFormat="1">
      <c r="A88"/>
      <c r="B88"/>
      <c r="C88"/>
      <c r="D88"/>
      <c r="E88"/>
      <c r="F88"/>
      <c r="G88"/>
      <c r="H88"/>
      <c r="I88"/>
      <c r="J88"/>
      <c r="K88"/>
    </row>
    <row r="89" spans="1:11" s="26" customFormat="1">
      <c r="A89"/>
      <c r="B89"/>
      <c r="C89"/>
      <c r="D89"/>
      <c r="E89"/>
      <c r="F89"/>
      <c r="G89"/>
      <c r="H89"/>
      <c r="I89"/>
      <c r="J89"/>
      <c r="K89"/>
    </row>
    <row r="90" spans="1:11" s="26" customFormat="1">
      <c r="A90"/>
      <c r="B90"/>
      <c r="C90"/>
      <c r="D90"/>
      <c r="E90"/>
      <c r="F90"/>
      <c r="G90"/>
      <c r="H90"/>
      <c r="I90"/>
      <c r="J90"/>
      <c r="K90"/>
    </row>
    <row r="91" spans="1:11" s="26" customFormat="1">
      <c r="A91"/>
      <c r="B91"/>
      <c r="C91"/>
      <c r="D91"/>
      <c r="E91"/>
      <c r="F91"/>
      <c r="G91"/>
      <c r="H91"/>
      <c r="I91"/>
      <c r="J91"/>
      <c r="K91"/>
    </row>
    <row r="92" spans="1:11" s="26" customFormat="1">
      <c r="A92"/>
      <c r="B92"/>
      <c r="C92"/>
      <c r="D92"/>
      <c r="E92"/>
      <c r="F92"/>
      <c r="G92"/>
      <c r="H92"/>
      <c r="I92"/>
      <c r="J92"/>
      <c r="K92"/>
    </row>
    <row r="93" spans="1:11" s="26" customFormat="1">
      <c r="A93"/>
      <c r="B93"/>
      <c r="C93"/>
      <c r="D93"/>
      <c r="E93"/>
      <c r="F93"/>
      <c r="G93"/>
      <c r="H93"/>
      <c r="I93"/>
      <c r="J93"/>
      <c r="K93"/>
    </row>
    <row r="94" spans="1:11" s="26" customFormat="1">
      <c r="A94"/>
      <c r="B94"/>
      <c r="C94"/>
      <c r="D94"/>
      <c r="E94"/>
      <c r="F94"/>
      <c r="G94"/>
      <c r="H94"/>
      <c r="I94"/>
      <c r="J94"/>
      <c r="K94"/>
    </row>
    <row r="95" spans="1:11" s="26" customFormat="1">
      <c r="A95"/>
      <c r="B95"/>
      <c r="C95"/>
      <c r="D95"/>
      <c r="E95"/>
      <c r="F95"/>
      <c r="G95"/>
      <c r="H95"/>
      <c r="I95"/>
      <c r="J95"/>
      <c r="K95"/>
    </row>
    <row r="96" spans="1:11" s="26" customFormat="1">
      <c r="A96"/>
      <c r="B96"/>
      <c r="C96"/>
      <c r="D96"/>
      <c r="E96"/>
      <c r="F96"/>
      <c r="G96"/>
      <c r="H96"/>
      <c r="I96"/>
      <c r="J96"/>
      <c r="K96"/>
    </row>
    <row r="97" spans="1:11" s="26" customFormat="1">
      <c r="A97"/>
      <c r="B97"/>
      <c r="C97"/>
      <c r="D97"/>
      <c r="E97"/>
      <c r="F97"/>
      <c r="G97"/>
      <c r="H97"/>
      <c r="I97"/>
      <c r="J97"/>
      <c r="K97"/>
    </row>
    <row r="98" spans="1:11" s="26" customFormat="1">
      <c r="A98"/>
      <c r="B98"/>
      <c r="C98"/>
      <c r="D98"/>
      <c r="E98"/>
      <c r="F98"/>
      <c r="G98"/>
      <c r="H98"/>
      <c r="I98"/>
      <c r="J98"/>
      <c r="K98"/>
    </row>
    <row r="99" spans="1:11" s="26" customFormat="1">
      <c r="A99"/>
      <c r="B99"/>
      <c r="C99"/>
      <c r="D99"/>
      <c r="E99"/>
      <c r="F99"/>
      <c r="G99"/>
      <c r="H99"/>
      <c r="I99"/>
      <c r="J99"/>
      <c r="K99"/>
    </row>
    <row r="100" spans="1:11" s="26" customFormat="1">
      <c r="A100"/>
      <c r="B100"/>
      <c r="C100"/>
      <c r="D100"/>
      <c r="E100"/>
      <c r="F100"/>
      <c r="G100"/>
      <c r="H100"/>
      <c r="I100"/>
      <c r="J100"/>
      <c r="K100"/>
    </row>
    <row r="101" spans="1:11" s="26" customFormat="1">
      <c r="A101"/>
      <c r="B101"/>
      <c r="C101"/>
      <c r="D101"/>
      <c r="E101"/>
      <c r="F101"/>
      <c r="G101"/>
      <c r="H101"/>
      <c r="I101"/>
      <c r="J101"/>
      <c r="K101"/>
    </row>
    <row r="102" spans="1:11" s="26" customFormat="1">
      <c r="A102"/>
      <c r="B102"/>
      <c r="C102"/>
      <c r="D102"/>
      <c r="E102"/>
      <c r="F102"/>
      <c r="G102"/>
      <c r="H102"/>
      <c r="I102"/>
      <c r="J102"/>
      <c r="K102"/>
    </row>
    <row r="103" spans="1:11" s="26" customFormat="1">
      <c r="A103"/>
      <c r="B103"/>
      <c r="C103"/>
      <c r="D103"/>
      <c r="E103"/>
      <c r="F103"/>
      <c r="G103"/>
      <c r="H103"/>
      <c r="I103"/>
      <c r="J103"/>
      <c r="K103"/>
    </row>
    <row r="104" spans="1:11" s="26" customFormat="1">
      <c r="A104"/>
      <c r="B104"/>
      <c r="C104"/>
      <c r="D104"/>
      <c r="E104"/>
      <c r="F104"/>
      <c r="G104"/>
      <c r="H104"/>
      <c r="I104"/>
      <c r="J104"/>
      <c r="K104"/>
    </row>
    <row r="105" spans="1:11" s="26" customFormat="1">
      <c r="A105"/>
      <c r="B105"/>
      <c r="C105"/>
      <c r="D105"/>
      <c r="E105"/>
      <c r="F105"/>
      <c r="G105"/>
      <c r="H105"/>
      <c r="I105"/>
      <c r="J105"/>
      <c r="K105"/>
    </row>
    <row r="106" spans="1:11" s="26" customFormat="1">
      <c r="A106"/>
      <c r="B106"/>
      <c r="C106"/>
      <c r="D106"/>
      <c r="E106"/>
      <c r="F106"/>
      <c r="G106"/>
      <c r="H106"/>
      <c r="I106"/>
      <c r="J106"/>
      <c r="K106"/>
    </row>
    <row r="107" spans="1:11" s="26" customFormat="1">
      <c r="A107"/>
      <c r="B107"/>
      <c r="C107"/>
      <c r="D107"/>
      <c r="E107"/>
      <c r="F107"/>
      <c r="G107"/>
      <c r="H107"/>
      <c r="I107"/>
      <c r="J107"/>
      <c r="K107"/>
    </row>
    <row r="108" spans="1:11" s="26" customFormat="1">
      <c r="A108"/>
      <c r="B108"/>
      <c r="C108"/>
      <c r="D108"/>
      <c r="E108"/>
      <c r="F108"/>
      <c r="G108"/>
      <c r="H108"/>
      <c r="I108"/>
      <c r="J108"/>
      <c r="K108"/>
    </row>
    <row r="109" spans="1:11" s="26" customFormat="1">
      <c r="A109"/>
      <c r="B109"/>
      <c r="C109"/>
      <c r="D109"/>
      <c r="E109"/>
      <c r="F109"/>
      <c r="G109"/>
      <c r="H109"/>
      <c r="I109"/>
      <c r="J109"/>
      <c r="K109"/>
    </row>
    <row r="110" spans="1:11" s="26" customFormat="1">
      <c r="A110"/>
      <c r="B110"/>
      <c r="C110"/>
      <c r="D110"/>
      <c r="E110"/>
      <c r="F110"/>
      <c r="G110"/>
      <c r="H110"/>
      <c r="I110"/>
      <c r="J110"/>
      <c r="K110"/>
    </row>
    <row r="111" spans="1:11" s="26" customFormat="1">
      <c r="A111"/>
      <c r="B111"/>
      <c r="C111"/>
      <c r="D111"/>
      <c r="E111"/>
      <c r="F111"/>
      <c r="G111"/>
      <c r="H111"/>
      <c r="I111"/>
      <c r="J111"/>
      <c r="K111"/>
    </row>
    <row r="112" spans="1:11" s="26" customFormat="1">
      <c r="A112"/>
      <c r="B112"/>
      <c r="C112"/>
      <c r="D112"/>
      <c r="E112"/>
      <c r="F112"/>
      <c r="G112"/>
      <c r="H112"/>
      <c r="I112"/>
      <c r="J112"/>
      <c r="K112"/>
    </row>
    <row r="113" spans="1:11" s="26" customFormat="1">
      <c r="A113"/>
      <c r="B113"/>
      <c r="C113"/>
      <c r="D113"/>
      <c r="E113"/>
      <c r="F113"/>
      <c r="G113"/>
      <c r="H113"/>
      <c r="I113"/>
      <c r="J113"/>
      <c r="K113"/>
    </row>
    <row r="114" spans="1:11" s="26" customFormat="1">
      <c r="A114"/>
      <c r="B114"/>
      <c r="C114"/>
      <c r="D114"/>
      <c r="E114"/>
      <c r="F114"/>
      <c r="G114"/>
      <c r="H114"/>
      <c r="I114"/>
      <c r="J114"/>
      <c r="K114"/>
    </row>
    <row r="115" spans="1:11" s="26" customFormat="1">
      <c r="A115"/>
      <c r="B115"/>
      <c r="C115"/>
      <c r="D115"/>
      <c r="E115"/>
      <c r="F115"/>
      <c r="G115"/>
      <c r="H115"/>
      <c r="I115"/>
      <c r="J115"/>
      <c r="K115"/>
    </row>
    <row r="116" spans="1:11" s="26" customFormat="1">
      <c r="A116"/>
      <c r="B116"/>
      <c r="C116"/>
      <c r="D116"/>
      <c r="E116"/>
      <c r="F116"/>
      <c r="G116"/>
      <c r="H116"/>
      <c r="I116"/>
      <c r="J116"/>
      <c r="K116"/>
    </row>
    <row r="117" spans="1:11" s="26" customFormat="1">
      <c r="A117"/>
      <c r="B117"/>
      <c r="C117"/>
      <c r="D117"/>
      <c r="E117"/>
      <c r="F117"/>
      <c r="G117"/>
      <c r="H117"/>
      <c r="I117"/>
      <c r="J117"/>
      <c r="K117"/>
    </row>
    <row r="118" spans="1:11" s="26" customFormat="1">
      <c r="A118"/>
      <c r="B118"/>
      <c r="C118"/>
      <c r="D118"/>
      <c r="E118"/>
      <c r="F118"/>
      <c r="G118"/>
      <c r="H118"/>
      <c r="I118"/>
      <c r="J118"/>
      <c r="K118"/>
    </row>
    <row r="119" spans="1:11" s="26" customFormat="1">
      <c r="A119"/>
      <c r="B119"/>
      <c r="C119"/>
      <c r="D119"/>
      <c r="E119"/>
      <c r="F119"/>
      <c r="G119"/>
      <c r="H119"/>
      <c r="I119"/>
      <c r="J119"/>
      <c r="K119"/>
    </row>
    <row r="120" spans="1:11" s="26" customFormat="1">
      <c r="A120"/>
      <c r="B120"/>
      <c r="C120"/>
      <c r="D120"/>
      <c r="E120"/>
      <c r="F120"/>
      <c r="G120"/>
      <c r="H120"/>
      <c r="I120"/>
      <c r="J120"/>
      <c r="K120"/>
    </row>
    <row r="121" spans="1:11" s="26" customFormat="1">
      <c r="A121"/>
      <c r="B121"/>
      <c r="C121"/>
      <c r="D121"/>
      <c r="E121"/>
      <c r="F121"/>
      <c r="G121"/>
      <c r="H121"/>
      <c r="I121"/>
      <c r="J121"/>
      <c r="K121"/>
    </row>
    <row r="122" spans="1:11" s="26" customFormat="1">
      <c r="A122"/>
      <c r="B122"/>
      <c r="C122"/>
      <c r="D122"/>
      <c r="E122"/>
      <c r="F122"/>
      <c r="G122"/>
      <c r="H122"/>
      <c r="I122"/>
      <c r="J122"/>
      <c r="K122"/>
    </row>
    <row r="123" spans="1:11" s="26" customFormat="1">
      <c r="A123"/>
      <c r="B123"/>
      <c r="C123"/>
      <c r="D123"/>
      <c r="E123"/>
      <c r="F123"/>
      <c r="G123"/>
      <c r="H123"/>
      <c r="I123"/>
      <c r="J123"/>
      <c r="K123"/>
    </row>
    <row r="124" spans="1:11" s="26" customFormat="1">
      <c r="A124"/>
      <c r="B124"/>
      <c r="C124"/>
      <c r="D124"/>
      <c r="E124"/>
      <c r="F124"/>
      <c r="G124"/>
      <c r="H124"/>
      <c r="I124"/>
      <c r="J124"/>
      <c r="K124"/>
    </row>
    <row r="125" spans="1:11" s="26" customFormat="1">
      <c r="A125"/>
      <c r="B125"/>
      <c r="C125"/>
      <c r="D125"/>
      <c r="E125"/>
      <c r="F125"/>
      <c r="G125"/>
      <c r="H125"/>
      <c r="I125"/>
      <c r="J125"/>
      <c r="K125"/>
    </row>
    <row r="126" spans="1:11" s="26" customFormat="1">
      <c r="A126"/>
      <c r="B126"/>
      <c r="C126"/>
      <c r="D126"/>
      <c r="E126"/>
      <c r="F126"/>
      <c r="G126"/>
      <c r="H126"/>
      <c r="I126"/>
      <c r="J126"/>
      <c r="K126"/>
    </row>
    <row r="127" spans="1:11" s="26" customFormat="1">
      <c r="A127"/>
      <c r="B127"/>
      <c r="C127"/>
      <c r="D127"/>
      <c r="E127"/>
      <c r="F127"/>
      <c r="G127"/>
      <c r="H127"/>
      <c r="I127"/>
      <c r="J127"/>
      <c r="K127"/>
    </row>
    <row r="128" spans="1:11" s="26" customFormat="1">
      <c r="A128"/>
      <c r="B128"/>
      <c r="C128"/>
      <c r="D128"/>
      <c r="E128"/>
      <c r="F128"/>
      <c r="G128"/>
      <c r="H128"/>
      <c r="I128"/>
      <c r="J128"/>
      <c r="K128"/>
    </row>
    <row r="129" spans="1:11" s="26" customFormat="1">
      <c r="A129"/>
      <c r="B129"/>
      <c r="C129"/>
      <c r="D129"/>
      <c r="E129"/>
      <c r="F129"/>
      <c r="G129"/>
      <c r="H129"/>
      <c r="I129"/>
      <c r="J129"/>
      <c r="K129"/>
    </row>
    <row r="130" spans="1:11" s="26" customFormat="1">
      <c r="A130"/>
      <c r="B130"/>
      <c r="C130"/>
      <c r="D130"/>
      <c r="E130"/>
      <c r="F130"/>
      <c r="G130"/>
      <c r="H130"/>
      <c r="I130"/>
      <c r="J130"/>
      <c r="K130"/>
    </row>
    <row r="131" spans="1:11" s="26" customFormat="1">
      <c r="A131"/>
      <c r="B131"/>
      <c r="C131"/>
      <c r="D131"/>
      <c r="E131"/>
      <c r="F131"/>
      <c r="G131"/>
      <c r="H131"/>
      <c r="I131"/>
      <c r="J131"/>
      <c r="K131"/>
    </row>
    <row r="132" spans="1:11" s="26" customFormat="1">
      <c r="A132"/>
      <c r="B132"/>
      <c r="C132"/>
      <c r="D132"/>
      <c r="E132"/>
      <c r="F132"/>
      <c r="G132"/>
      <c r="H132"/>
      <c r="I132"/>
      <c r="J132"/>
      <c r="K132"/>
    </row>
    <row r="133" spans="1:11" s="26" customFormat="1">
      <c r="A133"/>
      <c r="B133"/>
      <c r="C133"/>
      <c r="D133"/>
      <c r="E133"/>
      <c r="F133"/>
      <c r="G133"/>
      <c r="H133"/>
      <c r="I133"/>
      <c r="J133"/>
      <c r="K133"/>
    </row>
    <row r="134" spans="1:11" s="26" customFormat="1">
      <c r="A134"/>
      <c r="B134"/>
      <c r="C134"/>
      <c r="D134"/>
      <c r="E134"/>
      <c r="F134"/>
      <c r="G134"/>
      <c r="H134"/>
      <c r="I134"/>
      <c r="J134"/>
      <c r="K134"/>
    </row>
    <row r="135" spans="1:11" s="26" customFormat="1">
      <c r="A135"/>
      <c r="B135"/>
      <c r="C135"/>
      <c r="D135"/>
      <c r="E135"/>
      <c r="F135"/>
      <c r="G135"/>
      <c r="H135"/>
      <c r="I135"/>
      <c r="J135"/>
      <c r="K135"/>
    </row>
    <row r="136" spans="1:11" s="26" customFormat="1">
      <c r="A136"/>
      <c r="B136"/>
      <c r="C136"/>
      <c r="D136"/>
      <c r="E136"/>
      <c r="F136"/>
      <c r="G136"/>
      <c r="H136"/>
      <c r="I136"/>
      <c r="J136"/>
      <c r="K136"/>
    </row>
    <row r="137" spans="1:11" s="26" customFormat="1">
      <c r="A137"/>
      <c r="B137"/>
      <c r="C137"/>
      <c r="D137"/>
      <c r="E137"/>
      <c r="F137"/>
      <c r="G137"/>
      <c r="H137"/>
      <c r="I137"/>
      <c r="J137"/>
      <c r="K137"/>
    </row>
    <row r="138" spans="1:11" s="26" customFormat="1">
      <c r="A138"/>
      <c r="B138"/>
      <c r="C138"/>
      <c r="D138"/>
      <c r="E138"/>
      <c r="F138"/>
      <c r="G138"/>
      <c r="H138"/>
      <c r="I138"/>
      <c r="J138"/>
      <c r="K138"/>
    </row>
    <row r="139" spans="1:11" s="26" customFormat="1">
      <c r="A139"/>
      <c r="B139"/>
      <c r="C139"/>
      <c r="D139"/>
      <c r="E139"/>
      <c r="F139"/>
      <c r="G139"/>
      <c r="H139"/>
      <c r="I139"/>
      <c r="J139"/>
      <c r="K139"/>
    </row>
    <row r="140" spans="1:11" s="26" customFormat="1">
      <c r="A140"/>
      <c r="B140"/>
      <c r="C140"/>
      <c r="D140"/>
      <c r="E140"/>
      <c r="F140"/>
      <c r="G140"/>
      <c r="H140"/>
      <c r="I140"/>
      <c r="J140"/>
      <c r="K140"/>
    </row>
    <row r="141" spans="1:11" s="26" customFormat="1">
      <c r="A141"/>
      <c r="B141"/>
      <c r="C141"/>
      <c r="D141"/>
      <c r="E141"/>
      <c r="F141"/>
      <c r="G141"/>
      <c r="H141"/>
      <c r="I141"/>
      <c r="J141"/>
      <c r="K141"/>
    </row>
    <row r="142" spans="1:11" s="26" customFormat="1">
      <c r="A142"/>
      <c r="B142"/>
      <c r="C142"/>
      <c r="D142"/>
      <c r="E142"/>
      <c r="F142"/>
      <c r="G142"/>
      <c r="H142"/>
      <c r="I142"/>
      <c r="J142"/>
      <c r="K142"/>
    </row>
    <row r="143" spans="1:11" s="26" customFormat="1">
      <c r="A143"/>
      <c r="B143"/>
      <c r="C143"/>
      <c r="D143"/>
      <c r="E143"/>
      <c r="F143"/>
      <c r="G143"/>
      <c r="H143"/>
      <c r="I143"/>
      <c r="J143"/>
      <c r="K143"/>
    </row>
    <row r="144" spans="1:11" s="26" customFormat="1">
      <c r="A144"/>
      <c r="B144"/>
      <c r="C144"/>
      <c r="D144"/>
      <c r="E144"/>
      <c r="F144"/>
      <c r="G144"/>
      <c r="H144"/>
      <c r="I144"/>
      <c r="J144"/>
      <c r="K144"/>
    </row>
    <row r="145" spans="1:11" s="26" customFormat="1">
      <c r="A145"/>
      <c r="B145"/>
      <c r="C145"/>
      <c r="D145"/>
      <c r="E145"/>
      <c r="F145"/>
      <c r="G145"/>
      <c r="H145"/>
      <c r="I145"/>
      <c r="J145"/>
      <c r="K145"/>
    </row>
    <row r="146" spans="1:11" s="26" customFormat="1">
      <c r="A146"/>
      <c r="B146"/>
      <c r="C146"/>
      <c r="D146"/>
      <c r="E146"/>
      <c r="F146"/>
      <c r="G146"/>
      <c r="H146"/>
      <c r="I146"/>
      <c r="J146"/>
      <c r="K146"/>
    </row>
    <row r="147" spans="1:11" s="26" customFormat="1">
      <c r="A147"/>
      <c r="B147"/>
      <c r="C147"/>
      <c r="D147"/>
      <c r="E147"/>
      <c r="F147"/>
      <c r="G147"/>
      <c r="H147"/>
      <c r="I147"/>
      <c r="J147"/>
      <c r="K147"/>
    </row>
    <row r="148" spans="1:11" s="26" customFormat="1">
      <c r="A148"/>
      <c r="B148"/>
      <c r="C148"/>
      <c r="D148"/>
      <c r="E148"/>
      <c r="F148"/>
      <c r="G148"/>
      <c r="H148"/>
      <c r="I148"/>
      <c r="J148"/>
      <c r="K148"/>
    </row>
    <row r="149" spans="1:11" s="26" customFormat="1">
      <c r="A149"/>
      <c r="B149"/>
      <c r="C149"/>
      <c r="D149"/>
      <c r="E149"/>
      <c r="F149"/>
      <c r="G149"/>
      <c r="H149"/>
      <c r="I149"/>
      <c r="J149"/>
      <c r="K149"/>
    </row>
    <row r="150" spans="1:11" s="26" customFormat="1">
      <c r="A150"/>
      <c r="B150"/>
      <c r="C150"/>
      <c r="D150"/>
      <c r="E150"/>
      <c r="F150"/>
      <c r="G150"/>
      <c r="H150"/>
      <c r="I150"/>
      <c r="J150"/>
      <c r="K150"/>
    </row>
    <row r="151" spans="1:11" s="26" customFormat="1">
      <c r="A151"/>
      <c r="B151"/>
      <c r="C151"/>
      <c r="D151"/>
      <c r="E151"/>
      <c r="F151"/>
      <c r="G151"/>
      <c r="H151"/>
      <c r="I151"/>
      <c r="J151"/>
      <c r="K151"/>
    </row>
    <row r="152" spans="1:11" s="26" customFormat="1">
      <c r="A152"/>
      <c r="B152"/>
      <c r="C152"/>
      <c r="D152"/>
      <c r="E152"/>
      <c r="F152"/>
      <c r="G152"/>
      <c r="H152"/>
      <c r="I152"/>
      <c r="J152"/>
      <c r="K152"/>
    </row>
    <row r="153" spans="1:11" s="26" customFormat="1">
      <c r="A153"/>
      <c r="B153"/>
      <c r="C153"/>
      <c r="D153"/>
      <c r="E153"/>
      <c r="F153"/>
      <c r="G153"/>
      <c r="H153"/>
      <c r="I153"/>
      <c r="J153"/>
      <c r="K153"/>
    </row>
    <row r="154" spans="1:11" s="26" customFormat="1">
      <c r="A154"/>
      <c r="B154"/>
      <c r="C154"/>
      <c r="D154"/>
      <c r="E154"/>
      <c r="F154"/>
      <c r="G154"/>
      <c r="H154"/>
      <c r="I154"/>
      <c r="J154"/>
      <c r="K154"/>
    </row>
    <row r="155" spans="1:11" s="26" customFormat="1">
      <c r="A155"/>
      <c r="B155"/>
      <c r="C155"/>
      <c r="D155"/>
      <c r="E155"/>
      <c r="F155"/>
      <c r="G155"/>
      <c r="H155"/>
      <c r="I155"/>
      <c r="J155"/>
      <c r="K155"/>
    </row>
    <row r="156" spans="1:11" s="26" customFormat="1">
      <c r="A156"/>
      <c r="B156"/>
      <c r="C156"/>
      <c r="D156"/>
      <c r="E156"/>
      <c r="F156"/>
      <c r="G156"/>
      <c r="H156"/>
      <c r="I156"/>
      <c r="J156"/>
      <c r="K156"/>
    </row>
    <row r="157" spans="1:11" s="26" customFormat="1">
      <c r="A157"/>
      <c r="B157"/>
      <c r="C157"/>
      <c r="D157"/>
      <c r="E157"/>
      <c r="F157"/>
      <c r="G157"/>
      <c r="H157"/>
      <c r="I157"/>
      <c r="J157"/>
      <c r="K157"/>
    </row>
    <row r="158" spans="1:11" s="26" customFormat="1">
      <c r="A158"/>
      <c r="B158"/>
      <c r="C158"/>
      <c r="D158"/>
      <c r="E158"/>
      <c r="F158"/>
      <c r="G158"/>
      <c r="H158"/>
      <c r="I158"/>
      <c r="J158"/>
      <c r="K158"/>
    </row>
    <row r="159" spans="1:11" s="26" customFormat="1">
      <c r="A159"/>
      <c r="B159"/>
      <c r="C159"/>
      <c r="D159"/>
      <c r="E159"/>
      <c r="F159"/>
      <c r="G159"/>
      <c r="H159"/>
      <c r="I159"/>
      <c r="J159"/>
      <c r="K159"/>
    </row>
    <row r="160" spans="1:11" s="26" customFormat="1">
      <c r="A160"/>
      <c r="B160"/>
      <c r="C160"/>
      <c r="D160"/>
      <c r="E160"/>
      <c r="F160"/>
      <c r="G160"/>
      <c r="H160"/>
      <c r="I160"/>
      <c r="J160"/>
      <c r="K160"/>
    </row>
    <row r="161" spans="1:11" s="26" customFormat="1">
      <c r="A161"/>
      <c r="B161"/>
      <c r="C161"/>
      <c r="D161"/>
      <c r="E161"/>
      <c r="F161"/>
      <c r="G161"/>
      <c r="H161"/>
      <c r="I161"/>
      <c r="J161"/>
      <c r="K161"/>
    </row>
    <row r="162" spans="1:11" s="26" customFormat="1">
      <c r="A162"/>
      <c r="B162"/>
      <c r="C162"/>
      <c r="D162"/>
      <c r="E162"/>
      <c r="F162"/>
      <c r="G162"/>
      <c r="H162"/>
      <c r="I162"/>
      <c r="J162"/>
      <c r="K162"/>
    </row>
    <row r="163" spans="1:11" s="26" customFormat="1">
      <c r="A163"/>
      <c r="B163"/>
      <c r="C163"/>
      <c r="D163"/>
      <c r="E163"/>
      <c r="F163"/>
      <c r="G163"/>
      <c r="H163"/>
      <c r="I163"/>
      <c r="J163"/>
      <c r="K163"/>
    </row>
    <row r="164" spans="1:11" s="26" customFormat="1">
      <c r="A164"/>
      <c r="B164"/>
      <c r="C164"/>
      <c r="D164"/>
      <c r="E164"/>
      <c r="F164"/>
      <c r="G164"/>
      <c r="H164"/>
      <c r="I164"/>
      <c r="J164"/>
      <c r="K164"/>
    </row>
    <row r="165" spans="1:11" s="26" customFormat="1">
      <c r="A165"/>
      <c r="B165"/>
      <c r="C165"/>
      <c r="D165"/>
      <c r="E165"/>
      <c r="F165"/>
      <c r="G165"/>
      <c r="H165"/>
      <c r="I165"/>
      <c r="J165"/>
      <c r="K165"/>
    </row>
    <row r="166" spans="1:11" s="26" customFormat="1">
      <c r="A166"/>
      <c r="B166"/>
      <c r="C166"/>
      <c r="D166"/>
      <c r="E166"/>
      <c r="F166"/>
      <c r="G166"/>
      <c r="H166"/>
      <c r="I166"/>
      <c r="J166"/>
      <c r="K166"/>
    </row>
    <row r="167" spans="1:11" s="26" customFormat="1">
      <c r="A167"/>
      <c r="B167"/>
      <c r="C167"/>
      <c r="D167"/>
      <c r="E167"/>
      <c r="F167"/>
      <c r="G167"/>
      <c r="H167"/>
      <c r="I167"/>
      <c r="J167"/>
      <c r="K167"/>
    </row>
    <row r="168" spans="1:11" s="26" customFormat="1">
      <c r="A168"/>
      <c r="B168"/>
      <c r="C168"/>
      <c r="D168"/>
      <c r="E168"/>
      <c r="F168"/>
      <c r="G168"/>
      <c r="H168"/>
      <c r="I168"/>
      <c r="J168"/>
      <c r="K168"/>
    </row>
    <row r="169" spans="1:11" s="26" customFormat="1">
      <c r="A169"/>
      <c r="B169"/>
      <c r="C169"/>
      <c r="D169"/>
      <c r="E169"/>
      <c r="F169"/>
      <c r="G169"/>
      <c r="H169"/>
      <c r="I169"/>
      <c r="J169"/>
      <c r="K169"/>
    </row>
    <row r="170" spans="1:11" s="26" customFormat="1">
      <c r="A170"/>
      <c r="B170"/>
      <c r="C170"/>
      <c r="D170"/>
      <c r="E170"/>
      <c r="F170"/>
      <c r="G170"/>
      <c r="H170"/>
      <c r="I170"/>
      <c r="J170"/>
      <c r="K170"/>
    </row>
    <row r="171" spans="1:11" s="26" customFormat="1">
      <c r="A171"/>
      <c r="B171"/>
      <c r="C171"/>
      <c r="D171"/>
      <c r="E171"/>
      <c r="F171"/>
      <c r="G171"/>
      <c r="H171"/>
      <c r="I171"/>
      <c r="J171"/>
      <c r="K171"/>
    </row>
    <row r="172" spans="1:11" s="26" customFormat="1">
      <c r="A172"/>
      <c r="B172"/>
      <c r="C172"/>
      <c r="D172"/>
      <c r="E172"/>
      <c r="F172"/>
      <c r="G172"/>
      <c r="H172"/>
      <c r="I172"/>
      <c r="J172"/>
      <c r="K172"/>
    </row>
    <row r="173" spans="1:11" s="26" customFormat="1">
      <c r="A173"/>
      <c r="B173"/>
      <c r="C173"/>
      <c r="D173"/>
      <c r="E173"/>
      <c r="F173"/>
      <c r="G173"/>
      <c r="H173"/>
      <c r="I173"/>
      <c r="J173"/>
      <c r="K173"/>
    </row>
    <row r="174" spans="1:11" s="26" customFormat="1">
      <c r="A174"/>
      <c r="B174"/>
      <c r="C174"/>
      <c r="D174"/>
      <c r="E174"/>
      <c r="F174"/>
      <c r="G174"/>
      <c r="H174"/>
      <c r="I174"/>
      <c r="J174"/>
      <c r="K174"/>
    </row>
    <row r="175" spans="1:11" s="26" customFormat="1">
      <c r="A175"/>
      <c r="B175"/>
      <c r="C175"/>
      <c r="D175"/>
      <c r="E175"/>
      <c r="F175"/>
      <c r="G175"/>
      <c r="H175"/>
      <c r="I175"/>
      <c r="J175"/>
      <c r="K175"/>
    </row>
    <row r="176" spans="1:11" s="26" customFormat="1">
      <c r="A176"/>
      <c r="B176"/>
      <c r="C176"/>
      <c r="D176"/>
      <c r="E176"/>
      <c r="F176"/>
      <c r="G176"/>
      <c r="H176"/>
      <c r="I176"/>
      <c r="J176"/>
      <c r="K176"/>
    </row>
    <row r="177" spans="1:11" s="26" customFormat="1">
      <c r="A177"/>
      <c r="B177"/>
      <c r="C177"/>
      <c r="D177"/>
      <c r="E177"/>
      <c r="F177"/>
      <c r="G177"/>
      <c r="H177"/>
      <c r="I177"/>
      <c r="J177"/>
      <c r="K177"/>
    </row>
    <row r="178" spans="1:11" s="26" customFormat="1">
      <c r="A178"/>
      <c r="B178"/>
      <c r="C178"/>
      <c r="D178"/>
      <c r="E178"/>
      <c r="F178"/>
      <c r="G178"/>
      <c r="H178"/>
      <c r="I178"/>
      <c r="J178"/>
      <c r="K178"/>
    </row>
    <row r="179" spans="1:11" s="26" customFormat="1">
      <c r="A179"/>
      <c r="B179"/>
      <c r="C179"/>
      <c r="D179"/>
      <c r="E179"/>
      <c r="F179"/>
      <c r="G179"/>
      <c r="H179"/>
      <c r="I179"/>
      <c r="J179"/>
      <c r="K179"/>
    </row>
    <row r="180" spans="1:11" s="26" customFormat="1">
      <c r="A180"/>
      <c r="B180"/>
      <c r="C180"/>
      <c r="D180"/>
      <c r="E180"/>
      <c r="F180"/>
      <c r="G180"/>
      <c r="H180"/>
      <c r="I180"/>
      <c r="J180"/>
      <c r="K180"/>
    </row>
    <row r="181" spans="1:11" s="26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 s="26" customFormat="1">
      <c r="A182"/>
      <c r="B182"/>
      <c r="C182"/>
      <c r="D182"/>
      <c r="E182"/>
      <c r="F182"/>
      <c r="G182"/>
      <c r="H182"/>
      <c r="I182"/>
      <c r="J182"/>
      <c r="K182"/>
    </row>
    <row r="183" spans="1:11" s="26" customFormat="1">
      <c r="A183"/>
      <c r="B183"/>
      <c r="C183"/>
      <c r="D183"/>
      <c r="E183"/>
      <c r="F183"/>
      <c r="G183"/>
      <c r="H183"/>
      <c r="I183"/>
      <c r="J183"/>
      <c r="K183"/>
    </row>
    <row r="184" spans="1:11" s="26" customFormat="1">
      <c r="A184"/>
      <c r="B184"/>
      <c r="C184"/>
      <c r="D184"/>
      <c r="E184"/>
      <c r="F184"/>
      <c r="G184"/>
      <c r="H184"/>
      <c r="I184"/>
      <c r="J184"/>
      <c r="K184"/>
    </row>
    <row r="185" spans="1:11" s="26" customFormat="1">
      <c r="A185"/>
      <c r="B185"/>
      <c r="C185"/>
      <c r="D185"/>
      <c r="E185"/>
      <c r="F185"/>
      <c r="G185"/>
      <c r="H185"/>
      <c r="I185"/>
      <c r="J185"/>
      <c r="K185"/>
    </row>
    <row r="186" spans="1:11" s="26" customFormat="1">
      <c r="A186"/>
      <c r="B186"/>
      <c r="C186"/>
      <c r="D186"/>
      <c r="E186"/>
      <c r="F186"/>
      <c r="G186"/>
      <c r="H186"/>
      <c r="I186"/>
      <c r="J186"/>
      <c r="K186"/>
    </row>
    <row r="187" spans="1:11" s="26" customFormat="1">
      <c r="A187"/>
      <c r="B187"/>
      <c r="C187"/>
      <c r="D187"/>
      <c r="E187"/>
      <c r="F187"/>
      <c r="G187"/>
      <c r="H187"/>
      <c r="I187"/>
      <c r="J187"/>
      <c r="K187"/>
    </row>
    <row r="188" spans="1:11" s="26" customFormat="1">
      <c r="A188"/>
      <c r="B188"/>
      <c r="C188"/>
      <c r="D188"/>
      <c r="E188"/>
      <c r="F188"/>
      <c r="G188"/>
      <c r="H188"/>
      <c r="I188"/>
      <c r="J188"/>
      <c r="K188"/>
    </row>
    <row r="189" spans="1:11" s="26" customFormat="1">
      <c r="A189"/>
      <c r="B189"/>
      <c r="C189"/>
      <c r="D189"/>
      <c r="E189"/>
      <c r="F189"/>
      <c r="G189"/>
      <c r="H189"/>
      <c r="I189"/>
      <c r="J189"/>
      <c r="K189"/>
    </row>
    <row r="190" spans="1:11" s="26" customFormat="1">
      <c r="A190"/>
      <c r="B190"/>
      <c r="C190"/>
      <c r="D190"/>
      <c r="E190"/>
      <c r="F190"/>
      <c r="G190"/>
      <c r="H190"/>
      <c r="I190"/>
      <c r="J190"/>
      <c r="K190"/>
    </row>
    <row r="191" spans="1:11" s="26" customFormat="1">
      <c r="A191"/>
      <c r="B191"/>
      <c r="C191"/>
      <c r="D191"/>
      <c r="E191"/>
      <c r="F191"/>
      <c r="G191"/>
      <c r="H191"/>
      <c r="I191"/>
      <c r="J191"/>
      <c r="K191"/>
    </row>
    <row r="192" spans="1:11" s="26" customFormat="1">
      <c r="A192"/>
      <c r="B192"/>
      <c r="C192"/>
      <c r="D192"/>
      <c r="E192"/>
      <c r="F192"/>
      <c r="G192"/>
      <c r="H192"/>
      <c r="I192"/>
      <c r="J192"/>
      <c r="K192"/>
    </row>
    <row r="193" spans="1:11" s="26" customFormat="1">
      <c r="A193"/>
      <c r="B193"/>
      <c r="C193"/>
      <c r="D193"/>
      <c r="E193"/>
      <c r="F193"/>
      <c r="G193"/>
      <c r="H193"/>
      <c r="I193"/>
      <c r="J193"/>
      <c r="K193"/>
    </row>
    <row r="194" spans="1:11" s="26" customFormat="1">
      <c r="A194"/>
      <c r="B194"/>
      <c r="C194"/>
      <c r="D194"/>
      <c r="E194"/>
      <c r="F194"/>
      <c r="G194"/>
      <c r="H194"/>
      <c r="I194"/>
      <c r="J194"/>
      <c r="K194"/>
    </row>
    <row r="195" spans="1:11" s="26" customFormat="1">
      <c r="A195"/>
      <c r="B195"/>
      <c r="C195"/>
      <c r="D195"/>
      <c r="E195"/>
      <c r="F195"/>
      <c r="G195"/>
      <c r="H195"/>
      <c r="I195"/>
      <c r="J195"/>
      <c r="K195"/>
    </row>
    <row r="196" spans="1:11" s="26" customFormat="1">
      <c r="A196"/>
      <c r="B196"/>
      <c r="C196"/>
      <c r="D196"/>
      <c r="E196"/>
      <c r="F196"/>
      <c r="G196"/>
      <c r="H196"/>
      <c r="I196"/>
      <c r="J196"/>
      <c r="K196"/>
    </row>
    <row r="197" spans="1:11" s="26" customFormat="1">
      <c r="A197"/>
      <c r="B197"/>
      <c r="C197"/>
      <c r="D197"/>
      <c r="E197"/>
      <c r="F197"/>
      <c r="G197"/>
      <c r="H197"/>
      <c r="I197"/>
      <c r="J197"/>
      <c r="K197"/>
    </row>
    <row r="198" spans="1:11" s="26" customFormat="1">
      <c r="A198"/>
      <c r="B198"/>
      <c r="C198"/>
      <c r="D198"/>
      <c r="E198"/>
      <c r="F198"/>
      <c r="G198"/>
      <c r="H198"/>
      <c r="I198"/>
      <c r="J198"/>
      <c r="K198"/>
    </row>
    <row r="199" spans="1:11" s="26" customFormat="1">
      <c r="A199"/>
      <c r="B199"/>
      <c r="C199"/>
      <c r="D199"/>
      <c r="E199"/>
      <c r="F199"/>
      <c r="G199"/>
      <c r="H199"/>
      <c r="I199"/>
      <c r="J199"/>
      <c r="K199"/>
    </row>
    <row r="200" spans="1:11" s="26" customFormat="1">
      <c r="A200"/>
      <c r="B200"/>
      <c r="C200"/>
      <c r="D200"/>
      <c r="E200"/>
      <c r="F200"/>
      <c r="G200"/>
      <c r="H200"/>
      <c r="I200"/>
      <c r="J200"/>
      <c r="K200"/>
    </row>
    <row r="201" spans="1:11" s="26" customFormat="1">
      <c r="A201"/>
      <c r="B201"/>
      <c r="C201"/>
      <c r="D201"/>
      <c r="E201"/>
      <c r="F201"/>
      <c r="G201"/>
      <c r="H201"/>
      <c r="I201"/>
      <c r="J201"/>
      <c r="K201"/>
    </row>
    <row r="202" spans="1:11" s="26" customFormat="1">
      <c r="A202"/>
      <c r="B202"/>
      <c r="C202"/>
      <c r="D202"/>
      <c r="E202"/>
      <c r="F202"/>
      <c r="G202"/>
      <c r="H202"/>
      <c r="I202"/>
      <c r="J202"/>
      <c r="K202"/>
    </row>
    <row r="203" spans="1:11" s="26" customFormat="1">
      <c r="A203"/>
      <c r="B203"/>
      <c r="C203"/>
      <c r="D203"/>
      <c r="E203"/>
      <c r="F203"/>
      <c r="G203"/>
      <c r="H203"/>
      <c r="I203"/>
      <c r="J203"/>
      <c r="K203"/>
    </row>
    <row r="204" spans="1:11" s="26" customFormat="1">
      <c r="A204"/>
      <c r="B204"/>
      <c r="C204"/>
      <c r="D204"/>
      <c r="E204"/>
      <c r="F204"/>
      <c r="G204"/>
      <c r="H204"/>
      <c r="I204"/>
      <c r="J204"/>
      <c r="K204"/>
    </row>
    <row r="205" spans="1:11" s="26" customFormat="1">
      <c r="A205"/>
      <c r="B205"/>
      <c r="C205"/>
      <c r="D205"/>
      <c r="E205"/>
      <c r="F205"/>
      <c r="G205"/>
      <c r="H205"/>
      <c r="I205"/>
      <c r="J205"/>
      <c r="K205"/>
    </row>
    <row r="206" spans="1:11" s="26" customFormat="1">
      <c r="A206"/>
      <c r="B206"/>
      <c r="C206"/>
      <c r="D206"/>
      <c r="E206"/>
      <c r="F206"/>
      <c r="G206"/>
      <c r="H206"/>
      <c r="I206"/>
      <c r="J206"/>
      <c r="K206"/>
    </row>
    <row r="207" spans="1:11" s="26" customFormat="1">
      <c r="A207"/>
      <c r="B207"/>
      <c r="C207"/>
      <c r="D207"/>
      <c r="E207"/>
      <c r="F207"/>
      <c r="G207"/>
      <c r="H207"/>
      <c r="I207"/>
      <c r="J207"/>
      <c r="K207"/>
    </row>
    <row r="208" spans="1:11" s="26" customFormat="1">
      <c r="A208"/>
      <c r="B208"/>
      <c r="C208"/>
      <c r="D208"/>
      <c r="E208"/>
      <c r="F208"/>
      <c r="G208"/>
      <c r="H208"/>
      <c r="I208"/>
      <c r="J208"/>
      <c r="K208"/>
    </row>
    <row r="209" spans="1:11" s="26" customFormat="1">
      <c r="A209"/>
      <c r="B209"/>
      <c r="C209"/>
      <c r="D209"/>
      <c r="E209"/>
      <c r="F209"/>
      <c r="G209"/>
      <c r="H209"/>
      <c r="I209"/>
      <c r="J209"/>
      <c r="K209"/>
    </row>
    <row r="210" spans="1:11" s="26" customFormat="1">
      <c r="A210"/>
      <c r="B210"/>
      <c r="C210"/>
      <c r="D210"/>
      <c r="E210"/>
      <c r="F210"/>
      <c r="G210"/>
      <c r="H210"/>
      <c r="I210"/>
      <c r="J210"/>
      <c r="K210"/>
    </row>
    <row r="211" spans="1:11" s="26" customFormat="1">
      <c r="A211"/>
      <c r="B211"/>
      <c r="C211"/>
      <c r="D211"/>
      <c r="E211"/>
      <c r="F211"/>
      <c r="G211"/>
      <c r="H211"/>
      <c r="I211"/>
      <c r="J211"/>
      <c r="K211"/>
    </row>
    <row r="212" spans="1:11" s="26" customFormat="1">
      <c r="A212"/>
      <c r="B212"/>
      <c r="C212"/>
      <c r="D212"/>
      <c r="E212"/>
      <c r="F212"/>
      <c r="G212"/>
      <c r="H212"/>
      <c r="I212"/>
      <c r="J212"/>
      <c r="K212"/>
    </row>
    <row r="213" spans="1:11" s="26" customFormat="1">
      <c r="A213"/>
      <c r="B213"/>
      <c r="C213"/>
      <c r="D213"/>
      <c r="E213"/>
      <c r="F213"/>
      <c r="G213"/>
      <c r="H213"/>
      <c r="I213"/>
      <c r="J213"/>
      <c r="K213"/>
    </row>
    <row r="214" spans="1:11" s="26" customFormat="1">
      <c r="A214"/>
      <c r="B214"/>
      <c r="C214"/>
      <c r="D214"/>
      <c r="E214"/>
      <c r="F214"/>
      <c r="G214"/>
      <c r="H214"/>
      <c r="I214"/>
      <c r="J214"/>
      <c r="K214"/>
    </row>
    <row r="215" spans="1:11" s="26" customFormat="1">
      <c r="A215"/>
      <c r="B215"/>
      <c r="C215"/>
      <c r="D215"/>
      <c r="E215"/>
      <c r="F215"/>
      <c r="G215"/>
      <c r="H215"/>
      <c r="I215"/>
      <c r="J215"/>
      <c r="K215"/>
    </row>
    <row r="216" spans="1:11" s="26" customFormat="1">
      <c r="A216"/>
      <c r="B216"/>
      <c r="C216"/>
      <c r="D216"/>
      <c r="E216"/>
      <c r="F216"/>
      <c r="G216"/>
      <c r="H216"/>
      <c r="I216"/>
      <c r="J216"/>
      <c r="K216"/>
    </row>
    <row r="217" spans="1:11" s="26" customFormat="1">
      <c r="A217"/>
      <c r="B217"/>
      <c r="C217"/>
      <c r="D217"/>
      <c r="E217"/>
      <c r="F217"/>
      <c r="G217"/>
      <c r="H217"/>
      <c r="I217"/>
      <c r="J217"/>
      <c r="K217"/>
    </row>
    <row r="218" spans="1:11" s="26" customFormat="1">
      <c r="A218"/>
      <c r="B218"/>
      <c r="C218"/>
      <c r="D218"/>
      <c r="E218"/>
      <c r="F218"/>
      <c r="G218"/>
      <c r="H218"/>
      <c r="I218"/>
      <c r="J218"/>
      <c r="K218"/>
    </row>
    <row r="219" spans="1:11" s="26" customFormat="1">
      <c r="A219"/>
      <c r="B219"/>
      <c r="C219"/>
      <c r="D219"/>
      <c r="E219"/>
      <c r="F219"/>
      <c r="G219"/>
      <c r="H219"/>
      <c r="I219"/>
      <c r="J219"/>
      <c r="K219"/>
    </row>
    <row r="220" spans="1:11" s="26" customFormat="1">
      <c r="A220"/>
      <c r="B220"/>
      <c r="C220"/>
      <c r="D220"/>
      <c r="E220"/>
      <c r="F220"/>
      <c r="G220"/>
      <c r="H220"/>
      <c r="I220"/>
      <c r="J220"/>
      <c r="K220"/>
    </row>
    <row r="221" spans="1:11" s="26" customFormat="1">
      <c r="A221"/>
      <c r="B221"/>
      <c r="C221"/>
      <c r="D221"/>
      <c r="E221"/>
      <c r="F221"/>
      <c r="G221"/>
      <c r="H221"/>
      <c r="I221"/>
      <c r="J221"/>
      <c r="K221"/>
    </row>
    <row r="222" spans="1:11" s="26" customFormat="1">
      <c r="A222"/>
      <c r="B222"/>
      <c r="C222"/>
      <c r="D222"/>
      <c r="E222"/>
      <c r="F222"/>
      <c r="G222"/>
      <c r="H222"/>
      <c r="I222"/>
      <c r="J222"/>
      <c r="K222"/>
    </row>
    <row r="223" spans="1:11" s="26" customFormat="1">
      <c r="A223"/>
      <c r="B223"/>
      <c r="C223"/>
      <c r="D223"/>
      <c r="E223"/>
      <c r="F223"/>
      <c r="G223"/>
      <c r="H223"/>
      <c r="I223"/>
      <c r="J223"/>
      <c r="K223"/>
    </row>
    <row r="224" spans="1:11" s="26" customFormat="1">
      <c r="A224"/>
      <c r="B224"/>
      <c r="C224"/>
      <c r="D224"/>
      <c r="E224"/>
      <c r="F224"/>
      <c r="G224"/>
      <c r="H224"/>
      <c r="I224"/>
      <c r="J224"/>
      <c r="K224"/>
    </row>
    <row r="225" spans="1:11" s="26" customFormat="1">
      <c r="A225"/>
      <c r="B225"/>
      <c r="C225"/>
      <c r="D225"/>
      <c r="E225"/>
      <c r="F225"/>
      <c r="G225"/>
      <c r="H225"/>
      <c r="I225"/>
      <c r="J225"/>
      <c r="K225"/>
    </row>
    <row r="226" spans="1:11" s="26" customFormat="1">
      <c r="A226"/>
      <c r="B226"/>
      <c r="C226"/>
      <c r="D226"/>
      <c r="E226"/>
      <c r="F226"/>
      <c r="G226"/>
      <c r="H226"/>
      <c r="I226"/>
      <c r="J226"/>
      <c r="K226"/>
    </row>
    <row r="227" spans="1:11" s="26" customFormat="1">
      <c r="A227"/>
      <c r="B227"/>
      <c r="C227"/>
      <c r="D227"/>
      <c r="E227"/>
      <c r="F227"/>
      <c r="G227"/>
      <c r="H227"/>
      <c r="I227"/>
      <c r="J227"/>
      <c r="K227"/>
    </row>
    <row r="228" spans="1:11" s="26" customFormat="1">
      <c r="A228"/>
      <c r="B228"/>
      <c r="C228"/>
      <c r="D228"/>
      <c r="E228"/>
      <c r="F228"/>
      <c r="G228"/>
      <c r="H228"/>
      <c r="I228"/>
      <c r="J228"/>
      <c r="K228"/>
    </row>
    <row r="229" spans="1:11" s="26" customFormat="1">
      <c r="A229"/>
      <c r="B229"/>
      <c r="C229"/>
      <c r="D229"/>
      <c r="E229"/>
      <c r="F229"/>
      <c r="G229"/>
      <c r="H229"/>
      <c r="I229"/>
      <c r="J229"/>
      <c r="K229"/>
    </row>
    <row r="230" spans="1:11" s="26" customFormat="1">
      <c r="A230"/>
      <c r="B230"/>
      <c r="C230"/>
      <c r="D230"/>
      <c r="E230"/>
      <c r="F230"/>
      <c r="G230"/>
      <c r="H230"/>
      <c r="I230"/>
      <c r="J230"/>
      <c r="K230"/>
    </row>
    <row r="231" spans="1:11" s="26" customFormat="1">
      <c r="A231"/>
      <c r="B231"/>
      <c r="C231"/>
      <c r="D231"/>
      <c r="E231"/>
      <c r="F231"/>
      <c r="G231"/>
      <c r="H231"/>
      <c r="I231"/>
      <c r="J231"/>
      <c r="K231"/>
    </row>
    <row r="232" spans="1:11" s="26" customFormat="1">
      <c r="A232"/>
      <c r="B232"/>
      <c r="C232"/>
      <c r="D232"/>
      <c r="E232"/>
      <c r="F232"/>
      <c r="G232"/>
      <c r="H232"/>
      <c r="I232"/>
      <c r="J232"/>
      <c r="K232"/>
    </row>
    <row r="233" spans="1:11" s="26" customFormat="1">
      <c r="A233"/>
      <c r="B233"/>
      <c r="C233"/>
      <c r="D233"/>
      <c r="E233"/>
      <c r="F233"/>
      <c r="G233"/>
      <c r="H233"/>
      <c r="I233"/>
      <c r="J233"/>
      <c r="K233"/>
    </row>
    <row r="234" spans="1:11" s="26" customFormat="1">
      <c r="A234"/>
      <c r="B234"/>
      <c r="C234"/>
      <c r="D234"/>
      <c r="E234"/>
      <c r="F234"/>
      <c r="G234"/>
      <c r="H234"/>
      <c r="I234"/>
      <c r="J234"/>
      <c r="K234"/>
    </row>
    <row r="235" spans="1:11" s="26" customFormat="1">
      <c r="A235"/>
      <c r="B235"/>
      <c r="C235"/>
      <c r="D235"/>
      <c r="E235"/>
      <c r="F235"/>
      <c r="G235"/>
      <c r="H235"/>
      <c r="I235"/>
      <c r="J235"/>
      <c r="K235"/>
    </row>
    <row r="236" spans="1:11" s="26" customFormat="1">
      <c r="A236"/>
      <c r="B236"/>
      <c r="C236"/>
      <c r="D236"/>
      <c r="E236"/>
      <c r="F236"/>
      <c r="G236"/>
      <c r="H236"/>
      <c r="I236"/>
      <c r="J236"/>
      <c r="K236"/>
    </row>
    <row r="237" spans="1:11" s="26" customFormat="1">
      <c r="A237"/>
      <c r="B237"/>
      <c r="C237"/>
      <c r="D237"/>
      <c r="E237"/>
      <c r="F237"/>
      <c r="G237"/>
      <c r="H237"/>
      <c r="I237"/>
      <c r="J237"/>
      <c r="K237"/>
    </row>
    <row r="238" spans="1:11" s="26" customFormat="1">
      <c r="A238"/>
      <c r="B238"/>
      <c r="C238"/>
      <c r="D238"/>
      <c r="E238"/>
      <c r="F238"/>
      <c r="G238"/>
      <c r="H238"/>
      <c r="I238"/>
      <c r="J238"/>
      <c r="K238"/>
    </row>
    <row r="239" spans="1:11" s="26" customFormat="1">
      <c r="A239"/>
      <c r="B239"/>
      <c r="C239"/>
      <c r="D239"/>
      <c r="E239"/>
      <c r="F239"/>
      <c r="G239"/>
      <c r="H239"/>
      <c r="I239"/>
      <c r="J239"/>
      <c r="K239"/>
    </row>
    <row r="240" spans="1:11" s="26" customFormat="1">
      <c r="A240"/>
      <c r="B240"/>
      <c r="C240"/>
      <c r="D240"/>
      <c r="E240"/>
      <c r="F240"/>
      <c r="G240"/>
      <c r="H240"/>
      <c r="I240"/>
      <c r="J240"/>
      <c r="K240"/>
    </row>
    <row r="241" spans="1:11" s="26" customFormat="1">
      <c r="A241"/>
      <c r="B241"/>
      <c r="C241"/>
      <c r="D241"/>
      <c r="E241"/>
      <c r="F241"/>
      <c r="G241"/>
      <c r="H241"/>
      <c r="I241"/>
      <c r="J241"/>
      <c r="K241"/>
    </row>
    <row r="242" spans="1:11" s="26" customFormat="1">
      <c r="A242"/>
      <c r="B242"/>
      <c r="C242"/>
      <c r="D242"/>
      <c r="E242"/>
      <c r="F242"/>
      <c r="G242"/>
      <c r="H242"/>
      <c r="I242"/>
      <c r="J242"/>
      <c r="K242"/>
    </row>
    <row r="243" spans="1:11" s="26" customFormat="1">
      <c r="A243"/>
      <c r="B243"/>
      <c r="C243"/>
      <c r="D243"/>
      <c r="E243"/>
      <c r="F243"/>
      <c r="G243"/>
      <c r="H243"/>
      <c r="I243"/>
      <c r="J243"/>
      <c r="K243"/>
    </row>
    <row r="244" spans="1:11" s="26" customFormat="1">
      <c r="A244"/>
      <c r="B244"/>
      <c r="C244"/>
      <c r="D244"/>
      <c r="E244"/>
      <c r="F244"/>
      <c r="G244"/>
      <c r="H244"/>
      <c r="I244"/>
      <c r="J244"/>
      <c r="K244"/>
    </row>
    <row r="245" spans="1:11" s="26" customFormat="1">
      <c r="A245"/>
      <c r="B245"/>
      <c r="C245"/>
      <c r="D245"/>
      <c r="E245"/>
      <c r="F245"/>
      <c r="G245"/>
      <c r="H245"/>
      <c r="I245"/>
      <c r="J245"/>
      <c r="K245"/>
    </row>
    <row r="246" spans="1:11" s="26" customFormat="1">
      <c r="A246"/>
      <c r="B246"/>
      <c r="C246"/>
      <c r="D246"/>
      <c r="E246"/>
      <c r="F246"/>
      <c r="G246"/>
      <c r="H246"/>
      <c r="I246"/>
      <c r="J246"/>
      <c r="K246"/>
    </row>
    <row r="247" spans="1:11" s="26" customFormat="1">
      <c r="A247"/>
      <c r="B247"/>
      <c r="C247"/>
      <c r="D247"/>
      <c r="E247"/>
      <c r="F247"/>
      <c r="G247"/>
      <c r="H247"/>
      <c r="I247"/>
      <c r="J247"/>
      <c r="K247"/>
    </row>
    <row r="248" spans="1:11" s="26" customFormat="1">
      <c r="A248"/>
      <c r="B248"/>
      <c r="C248"/>
      <c r="D248"/>
      <c r="E248"/>
      <c r="F248"/>
      <c r="G248"/>
      <c r="H248"/>
      <c r="I248"/>
      <c r="J248"/>
      <c r="K248"/>
    </row>
    <row r="249" spans="1:11" s="26" customFormat="1">
      <c r="A249"/>
      <c r="B249"/>
      <c r="C249"/>
      <c r="D249"/>
      <c r="E249"/>
      <c r="F249"/>
      <c r="G249"/>
      <c r="H249"/>
      <c r="I249"/>
      <c r="J249"/>
      <c r="K249"/>
    </row>
    <row r="250" spans="1:11" s="26" customFormat="1">
      <c r="A250"/>
      <c r="B250"/>
      <c r="C250"/>
      <c r="D250"/>
      <c r="E250"/>
      <c r="F250"/>
      <c r="G250"/>
      <c r="H250"/>
      <c r="I250"/>
      <c r="J250"/>
      <c r="K250"/>
    </row>
    <row r="251" spans="1:11" s="26" customFormat="1">
      <c r="A251"/>
      <c r="B251"/>
      <c r="C251"/>
      <c r="D251"/>
      <c r="E251"/>
      <c r="F251"/>
      <c r="G251"/>
      <c r="H251"/>
      <c r="I251"/>
      <c r="J251"/>
      <c r="K251"/>
    </row>
    <row r="252" spans="1:11" s="26" customFormat="1">
      <c r="A252"/>
      <c r="B252"/>
      <c r="C252"/>
      <c r="D252"/>
      <c r="E252"/>
      <c r="F252"/>
      <c r="G252"/>
      <c r="H252"/>
      <c r="I252"/>
      <c r="J252"/>
      <c r="K252"/>
    </row>
    <row r="253" spans="1:11" s="26" customFormat="1">
      <c r="A253"/>
      <c r="B253"/>
      <c r="C253"/>
      <c r="D253"/>
      <c r="E253"/>
      <c r="F253"/>
      <c r="G253"/>
      <c r="H253"/>
      <c r="I253"/>
      <c r="J253"/>
      <c r="K253"/>
    </row>
    <row r="254" spans="1:11" s="26" customFormat="1">
      <c r="A254"/>
      <c r="B254"/>
      <c r="C254"/>
      <c r="D254"/>
      <c r="E254"/>
      <c r="F254"/>
      <c r="G254"/>
      <c r="H254"/>
      <c r="I254"/>
      <c r="J254"/>
      <c r="K254"/>
    </row>
    <row r="255" spans="1:11" s="26" customFormat="1">
      <c r="A255"/>
      <c r="B255"/>
      <c r="C255"/>
      <c r="D255"/>
      <c r="E255"/>
      <c r="F255"/>
      <c r="G255"/>
      <c r="H255"/>
      <c r="I255"/>
      <c r="J255"/>
      <c r="K255"/>
    </row>
    <row r="256" spans="1:11" s="26" customFormat="1">
      <c r="A256"/>
      <c r="B256"/>
      <c r="C256"/>
      <c r="D256"/>
      <c r="E256"/>
      <c r="F256"/>
      <c r="G256"/>
      <c r="H256"/>
      <c r="I256"/>
      <c r="J256"/>
      <c r="K256"/>
    </row>
    <row r="257" spans="1:11" s="26" customFormat="1">
      <c r="A257"/>
      <c r="B257"/>
      <c r="C257"/>
      <c r="D257"/>
      <c r="E257"/>
      <c r="F257"/>
      <c r="G257"/>
      <c r="H257"/>
      <c r="I257"/>
      <c r="J257"/>
      <c r="K257"/>
    </row>
    <row r="258" spans="1:11" s="26" customFormat="1">
      <c r="A258"/>
      <c r="B258"/>
      <c r="C258"/>
      <c r="D258"/>
      <c r="E258"/>
      <c r="F258"/>
      <c r="G258"/>
      <c r="H258"/>
      <c r="I258"/>
      <c r="J258"/>
      <c r="K258"/>
    </row>
    <row r="259" spans="1:11" s="26" customFormat="1">
      <c r="A259"/>
      <c r="B259"/>
      <c r="C259"/>
      <c r="D259"/>
      <c r="E259"/>
      <c r="F259"/>
      <c r="G259"/>
      <c r="H259"/>
      <c r="I259"/>
      <c r="J259"/>
      <c r="K259"/>
    </row>
    <row r="260" spans="1:11" s="26" customFormat="1">
      <c r="A260"/>
      <c r="B260"/>
      <c r="C260"/>
      <c r="D260"/>
      <c r="E260"/>
      <c r="F260"/>
      <c r="G260"/>
      <c r="H260"/>
      <c r="I260"/>
      <c r="J260"/>
      <c r="K260"/>
    </row>
    <row r="261" spans="1:11" s="26" customFormat="1">
      <c r="A261"/>
      <c r="B261"/>
      <c r="C261"/>
      <c r="D261"/>
      <c r="E261"/>
      <c r="F261"/>
      <c r="G261"/>
      <c r="H261"/>
      <c r="I261"/>
      <c r="J261"/>
      <c r="K261"/>
    </row>
    <row r="262" spans="1:11" s="26" customFormat="1">
      <c r="A262"/>
      <c r="B262"/>
      <c r="C262"/>
      <c r="D262"/>
      <c r="E262"/>
      <c r="F262"/>
      <c r="G262"/>
      <c r="H262"/>
      <c r="I262"/>
      <c r="J262"/>
      <c r="K262"/>
    </row>
    <row r="263" spans="1:11" s="26" customFormat="1">
      <c r="A263"/>
      <c r="B263"/>
      <c r="C263"/>
      <c r="D263"/>
      <c r="E263"/>
      <c r="F263"/>
      <c r="G263"/>
      <c r="H263"/>
      <c r="I263"/>
      <c r="J263"/>
      <c r="K263"/>
    </row>
    <row r="264" spans="1:11" s="26" customFormat="1">
      <c r="A264"/>
      <c r="B264"/>
      <c r="C264"/>
      <c r="D264"/>
      <c r="E264"/>
      <c r="F264"/>
      <c r="G264"/>
      <c r="H264"/>
      <c r="I264"/>
      <c r="J264"/>
      <c r="K264"/>
    </row>
    <row r="265" spans="1:11" s="26" customFormat="1">
      <c r="A265"/>
      <c r="B265"/>
      <c r="C265"/>
      <c r="D265"/>
      <c r="E265"/>
      <c r="F265"/>
      <c r="G265"/>
      <c r="H265"/>
      <c r="I265"/>
      <c r="J265"/>
      <c r="K265"/>
    </row>
    <row r="266" spans="1:11" s="26" customFormat="1">
      <c r="A266"/>
      <c r="B266"/>
      <c r="C266"/>
      <c r="D266"/>
      <c r="E266"/>
      <c r="F266"/>
      <c r="G266"/>
      <c r="H266"/>
      <c r="I266"/>
      <c r="J266"/>
      <c r="K266"/>
    </row>
    <row r="267" spans="1:11" s="26" customFormat="1">
      <c r="A267"/>
      <c r="B267"/>
      <c r="C267"/>
      <c r="D267"/>
      <c r="E267"/>
      <c r="F267"/>
      <c r="G267"/>
      <c r="H267"/>
      <c r="I267"/>
      <c r="J267"/>
      <c r="K267"/>
    </row>
    <row r="268" spans="1:11" s="26" customFormat="1">
      <c r="A268"/>
      <c r="B268"/>
      <c r="C268"/>
      <c r="D268"/>
      <c r="E268"/>
      <c r="F268"/>
      <c r="G268"/>
      <c r="H268"/>
      <c r="I268"/>
      <c r="J268"/>
      <c r="K268"/>
    </row>
    <row r="269" spans="1:11" s="26" customFormat="1">
      <c r="A269"/>
      <c r="B269"/>
      <c r="C269"/>
      <c r="D269"/>
      <c r="E269"/>
      <c r="F269"/>
      <c r="G269"/>
      <c r="H269"/>
      <c r="I269"/>
      <c r="J269"/>
      <c r="K269"/>
    </row>
    <row r="270" spans="1:11" s="26" customFormat="1">
      <c r="A270"/>
      <c r="B270"/>
      <c r="C270"/>
      <c r="D270"/>
      <c r="E270"/>
      <c r="F270"/>
      <c r="G270"/>
      <c r="H270"/>
      <c r="I270"/>
      <c r="J270"/>
      <c r="K270"/>
    </row>
    <row r="271" spans="1:11" s="26" customFormat="1">
      <c r="A271"/>
      <c r="B271"/>
      <c r="C271"/>
      <c r="D271"/>
      <c r="E271"/>
      <c r="F271"/>
      <c r="G271"/>
      <c r="H271"/>
      <c r="I271"/>
      <c r="J271"/>
      <c r="K271"/>
    </row>
    <row r="272" spans="1:11" s="26" customFormat="1">
      <c r="A272"/>
      <c r="B272"/>
      <c r="C272"/>
      <c r="D272"/>
      <c r="E272"/>
      <c r="F272"/>
      <c r="G272"/>
      <c r="H272"/>
      <c r="I272"/>
      <c r="J272"/>
      <c r="K272"/>
    </row>
    <row r="273" spans="1:11" s="26" customFormat="1">
      <c r="A273"/>
      <c r="B273"/>
      <c r="C273"/>
      <c r="D273"/>
      <c r="E273"/>
      <c r="F273"/>
      <c r="G273"/>
      <c r="H273"/>
      <c r="I273"/>
      <c r="J273"/>
      <c r="K273"/>
    </row>
    <row r="274" spans="1:11" s="26" customFormat="1">
      <c r="A274"/>
      <c r="B274"/>
      <c r="C274"/>
      <c r="D274"/>
      <c r="E274"/>
      <c r="F274"/>
      <c r="G274"/>
      <c r="H274"/>
      <c r="I274"/>
      <c r="J274"/>
      <c r="K274"/>
    </row>
    <row r="275" spans="1:11" s="26" customFormat="1">
      <c r="A275"/>
      <c r="B275"/>
      <c r="C275"/>
      <c r="D275"/>
      <c r="E275"/>
      <c r="F275"/>
      <c r="G275"/>
      <c r="H275"/>
      <c r="I275"/>
      <c r="J275"/>
      <c r="K275"/>
    </row>
    <row r="276" spans="1:11" s="26" customFormat="1">
      <c r="A276"/>
      <c r="B276"/>
      <c r="C276"/>
      <c r="D276"/>
      <c r="E276"/>
      <c r="F276"/>
      <c r="G276"/>
      <c r="H276"/>
      <c r="I276"/>
      <c r="J276"/>
      <c r="K276"/>
    </row>
    <row r="277" spans="1:11" s="26" customFormat="1">
      <c r="A277"/>
      <c r="B277"/>
      <c r="C277"/>
      <c r="D277"/>
      <c r="E277"/>
      <c r="F277"/>
      <c r="G277"/>
      <c r="H277"/>
      <c r="I277"/>
      <c r="J277"/>
      <c r="K277"/>
    </row>
    <row r="278" spans="1:11" s="26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26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26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26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26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26" customFormat="1">
      <c r="A283"/>
      <c r="B283"/>
      <c r="C283"/>
      <c r="D283"/>
      <c r="E283"/>
      <c r="F283"/>
      <c r="G283"/>
      <c r="H283"/>
      <c r="I283"/>
      <c r="J283"/>
      <c r="K283"/>
    </row>
    <row r="284" spans="1:11" s="26" customFormat="1">
      <c r="A284"/>
      <c r="B284"/>
      <c r="C284"/>
      <c r="D284"/>
      <c r="E284"/>
      <c r="F284"/>
      <c r="G284"/>
      <c r="H284"/>
      <c r="I284"/>
      <c r="J284"/>
      <c r="K284"/>
    </row>
    <row r="285" spans="1:11" s="26" customFormat="1">
      <c r="A285"/>
      <c r="B285"/>
      <c r="C285"/>
      <c r="D285"/>
      <c r="E285"/>
      <c r="F285"/>
      <c r="G285"/>
      <c r="H285"/>
      <c r="I285"/>
      <c r="J285"/>
      <c r="K285"/>
    </row>
    <row r="286" spans="1:11" s="26" customFormat="1">
      <c r="A286"/>
      <c r="B286"/>
      <c r="C286"/>
      <c r="D286"/>
      <c r="E286"/>
      <c r="F286"/>
      <c r="G286"/>
      <c r="H286"/>
      <c r="I286"/>
      <c r="J286"/>
      <c r="K286"/>
    </row>
    <row r="287" spans="1:11" s="26" customFormat="1">
      <c r="A287"/>
      <c r="B287"/>
      <c r="C287"/>
      <c r="D287"/>
      <c r="E287"/>
      <c r="F287"/>
      <c r="G287"/>
      <c r="H287"/>
      <c r="I287"/>
      <c r="J287"/>
      <c r="K287"/>
    </row>
    <row r="288" spans="1:11" s="26" customFormat="1">
      <c r="A288"/>
      <c r="B288"/>
      <c r="C288"/>
      <c r="D288"/>
      <c r="E288"/>
      <c r="F288"/>
      <c r="G288"/>
      <c r="H288"/>
      <c r="I288"/>
      <c r="J288"/>
      <c r="K288"/>
    </row>
    <row r="289" spans="1:11" s="26" customFormat="1">
      <c r="A289"/>
      <c r="B289"/>
      <c r="C289"/>
      <c r="D289"/>
      <c r="E289"/>
      <c r="F289"/>
      <c r="G289"/>
      <c r="H289"/>
      <c r="I289"/>
      <c r="J289"/>
      <c r="K289"/>
    </row>
    <row r="290" spans="1:11" s="26" customFormat="1">
      <c r="A290"/>
      <c r="B290"/>
      <c r="C290"/>
      <c r="D290"/>
      <c r="E290"/>
      <c r="F290"/>
      <c r="G290"/>
      <c r="H290"/>
      <c r="I290"/>
      <c r="J290"/>
      <c r="K290"/>
    </row>
    <row r="291" spans="1:11" s="26" customFormat="1">
      <c r="A291"/>
      <c r="B291"/>
      <c r="C291"/>
      <c r="D291"/>
      <c r="E291"/>
      <c r="F291"/>
      <c r="G291"/>
      <c r="H291"/>
      <c r="I291"/>
      <c r="J291"/>
      <c r="K291"/>
    </row>
    <row r="292" spans="1:11" s="26" customFormat="1">
      <c r="A292"/>
      <c r="B292"/>
      <c r="C292"/>
      <c r="D292"/>
      <c r="E292"/>
      <c r="F292"/>
      <c r="G292"/>
      <c r="H292"/>
      <c r="I292"/>
      <c r="J292"/>
      <c r="K292"/>
    </row>
    <row r="293" spans="1:11" s="26" customFormat="1">
      <c r="A293"/>
      <c r="B293"/>
      <c r="C293"/>
      <c r="D293"/>
      <c r="E293"/>
      <c r="F293"/>
      <c r="G293"/>
      <c r="H293"/>
      <c r="I293"/>
      <c r="J293"/>
      <c r="K293"/>
    </row>
    <row r="294" spans="1:11" s="26" customFormat="1">
      <c r="A294"/>
      <c r="B294"/>
      <c r="C294"/>
      <c r="D294"/>
      <c r="E294"/>
      <c r="F294"/>
      <c r="G294"/>
      <c r="H294"/>
      <c r="I294"/>
      <c r="J294"/>
      <c r="K294"/>
    </row>
    <row r="295" spans="1:11" s="26" customFormat="1">
      <c r="A295"/>
      <c r="B295"/>
      <c r="C295"/>
      <c r="D295"/>
      <c r="E295"/>
      <c r="F295"/>
      <c r="G295"/>
      <c r="H295"/>
      <c r="I295"/>
      <c r="J295"/>
      <c r="K295"/>
    </row>
    <row r="296" spans="1:11" s="26" customFormat="1">
      <c r="A296"/>
      <c r="B296"/>
      <c r="C296"/>
      <c r="D296"/>
      <c r="E296"/>
      <c r="F296"/>
      <c r="G296"/>
      <c r="H296"/>
      <c r="I296"/>
      <c r="J296"/>
      <c r="K296"/>
    </row>
    <row r="297" spans="1:11" s="26" customFormat="1">
      <c r="A297"/>
      <c r="B297"/>
      <c r="C297"/>
      <c r="D297"/>
      <c r="E297"/>
      <c r="F297"/>
      <c r="G297"/>
      <c r="H297"/>
      <c r="I297"/>
      <c r="J297"/>
      <c r="K297"/>
    </row>
    <row r="298" spans="1:11" s="26" customFormat="1">
      <c r="A298"/>
      <c r="B298"/>
      <c r="C298"/>
      <c r="D298"/>
      <c r="E298"/>
      <c r="F298"/>
      <c r="G298"/>
      <c r="H298"/>
      <c r="I298"/>
      <c r="J298"/>
      <c r="K298"/>
    </row>
    <row r="299" spans="1:11" s="26" customFormat="1">
      <c r="A299"/>
      <c r="B299"/>
      <c r="C299"/>
      <c r="D299"/>
      <c r="E299"/>
      <c r="F299"/>
      <c r="G299"/>
      <c r="H299"/>
      <c r="I299"/>
      <c r="J299"/>
      <c r="K299"/>
    </row>
    <row r="300" spans="1:11" s="26" customFormat="1">
      <c r="A300"/>
      <c r="B300"/>
      <c r="C300"/>
      <c r="D300"/>
      <c r="E300"/>
      <c r="F300"/>
      <c r="G300"/>
      <c r="H300"/>
      <c r="I300"/>
      <c r="J300"/>
      <c r="K300"/>
    </row>
    <row r="301" spans="1:11" s="26" customFormat="1">
      <c r="A301"/>
      <c r="B301"/>
      <c r="C301"/>
      <c r="D301"/>
      <c r="E301"/>
      <c r="F301"/>
      <c r="G301"/>
      <c r="H301"/>
      <c r="I301"/>
      <c r="J301"/>
      <c r="K301"/>
    </row>
    <row r="302" spans="1:11" s="26" customFormat="1">
      <c r="A302"/>
      <c r="B302"/>
      <c r="C302"/>
      <c r="D302"/>
      <c r="E302"/>
      <c r="F302"/>
      <c r="G302"/>
      <c r="H302"/>
      <c r="I302"/>
      <c r="J302"/>
      <c r="K302"/>
    </row>
    <row r="303" spans="1:11" s="26" customFormat="1">
      <c r="A303"/>
      <c r="B303"/>
      <c r="C303"/>
      <c r="D303"/>
      <c r="E303"/>
      <c r="F303"/>
      <c r="G303"/>
      <c r="H303"/>
      <c r="I303"/>
      <c r="J303"/>
      <c r="K303"/>
    </row>
    <row r="304" spans="1:11" s="26" customFormat="1">
      <c r="A304"/>
      <c r="B304"/>
      <c r="C304"/>
      <c r="D304"/>
      <c r="E304"/>
      <c r="F304"/>
      <c r="G304"/>
      <c r="H304"/>
      <c r="I304"/>
      <c r="J304"/>
      <c r="K304"/>
    </row>
    <row r="305" spans="1:11" s="26" customFormat="1">
      <c r="A305"/>
      <c r="B305"/>
      <c r="C305"/>
      <c r="D305"/>
      <c r="E305"/>
      <c r="F305"/>
      <c r="G305"/>
      <c r="H305"/>
      <c r="I305"/>
      <c r="J305"/>
      <c r="K305"/>
    </row>
    <row r="306" spans="1:11" s="26" customFormat="1">
      <c r="A306"/>
      <c r="B306"/>
      <c r="C306"/>
      <c r="D306"/>
      <c r="E306"/>
      <c r="F306"/>
      <c r="G306"/>
      <c r="H306"/>
      <c r="I306"/>
      <c r="J306"/>
      <c r="K306"/>
    </row>
    <row r="307" spans="1:11" s="26" customFormat="1">
      <c r="A307"/>
      <c r="B307"/>
      <c r="C307"/>
      <c r="D307"/>
      <c r="E307"/>
      <c r="F307"/>
      <c r="G307"/>
      <c r="H307"/>
      <c r="I307"/>
      <c r="J307"/>
      <c r="K307"/>
    </row>
    <row r="308" spans="1:11" s="26" customFormat="1">
      <c r="A308"/>
      <c r="B308"/>
      <c r="C308"/>
      <c r="D308"/>
      <c r="E308"/>
      <c r="F308"/>
      <c r="G308"/>
      <c r="H308"/>
      <c r="I308"/>
      <c r="J308"/>
      <c r="K308"/>
    </row>
    <row r="309" spans="1:11" s="26" customFormat="1">
      <c r="A309"/>
      <c r="B309"/>
      <c r="C309"/>
      <c r="D309"/>
      <c r="E309"/>
      <c r="F309"/>
      <c r="G309"/>
      <c r="H309"/>
      <c r="I309"/>
      <c r="J309"/>
      <c r="K309"/>
    </row>
    <row r="310" spans="1:11" s="26" customFormat="1">
      <c r="A310"/>
      <c r="B310"/>
      <c r="C310"/>
      <c r="D310"/>
      <c r="E310"/>
      <c r="F310"/>
      <c r="G310"/>
      <c r="H310"/>
      <c r="I310"/>
      <c r="J310"/>
      <c r="K310"/>
    </row>
    <row r="311" spans="1:11" s="26" customFormat="1">
      <c r="A311"/>
      <c r="B311"/>
      <c r="C311"/>
      <c r="D311"/>
      <c r="E311"/>
      <c r="F311"/>
      <c r="G311"/>
      <c r="H311"/>
      <c r="I311"/>
      <c r="J311"/>
      <c r="K311"/>
    </row>
    <row r="312" spans="1:11" s="26" customFormat="1">
      <c r="A312"/>
      <c r="B312"/>
      <c r="C312"/>
      <c r="D312"/>
      <c r="E312"/>
      <c r="F312"/>
      <c r="G312"/>
      <c r="H312"/>
      <c r="I312"/>
      <c r="J312"/>
      <c r="K312"/>
    </row>
    <row r="313" spans="1:11" s="26" customFormat="1">
      <c r="A313"/>
      <c r="B313"/>
      <c r="C313"/>
      <c r="D313"/>
      <c r="E313"/>
      <c r="F313"/>
      <c r="G313"/>
      <c r="H313"/>
      <c r="I313"/>
      <c r="J313"/>
      <c r="K313"/>
    </row>
    <row r="314" spans="1:11" s="26" customFormat="1">
      <c r="A314"/>
      <c r="B314"/>
      <c r="C314"/>
      <c r="D314"/>
      <c r="E314"/>
      <c r="F314"/>
      <c r="G314"/>
      <c r="H314"/>
      <c r="I314"/>
      <c r="J314"/>
      <c r="K314"/>
    </row>
    <row r="315" spans="1:11" s="26" customFormat="1">
      <c r="A315"/>
      <c r="B315"/>
      <c r="C315"/>
      <c r="D315"/>
      <c r="E315"/>
      <c r="F315"/>
      <c r="G315"/>
      <c r="H315"/>
      <c r="I315"/>
      <c r="J315"/>
      <c r="K315"/>
    </row>
    <row r="316" spans="1:11" s="26" customFormat="1">
      <c r="A316"/>
      <c r="B316"/>
      <c r="C316"/>
      <c r="D316"/>
      <c r="E316"/>
      <c r="F316"/>
      <c r="G316"/>
      <c r="H316"/>
      <c r="I316"/>
      <c r="J316"/>
      <c r="K316"/>
    </row>
    <row r="317" spans="1:11" s="26" customFormat="1">
      <c r="A317"/>
      <c r="B317"/>
      <c r="C317"/>
      <c r="D317"/>
      <c r="E317"/>
      <c r="F317"/>
      <c r="G317"/>
      <c r="H317"/>
      <c r="I317"/>
      <c r="J317"/>
      <c r="K317"/>
    </row>
    <row r="318" spans="1:11" s="26" customFormat="1">
      <c r="A318"/>
      <c r="B318"/>
      <c r="C318"/>
      <c r="D318"/>
      <c r="E318"/>
      <c r="F318"/>
      <c r="G318"/>
      <c r="H318"/>
      <c r="I318"/>
      <c r="J318"/>
      <c r="K318"/>
    </row>
    <row r="319" spans="1:11" s="26" customFormat="1">
      <c r="A319"/>
      <c r="B319"/>
      <c r="C319"/>
      <c r="D319"/>
      <c r="E319"/>
      <c r="F319"/>
      <c r="G319"/>
      <c r="H319"/>
      <c r="I319"/>
      <c r="J319"/>
      <c r="K319"/>
    </row>
    <row r="320" spans="1:11" s="26" customFormat="1">
      <c r="A320"/>
      <c r="B320"/>
      <c r="C320"/>
      <c r="D320"/>
      <c r="E320"/>
      <c r="F320"/>
      <c r="G320"/>
      <c r="H320"/>
      <c r="I320"/>
      <c r="J320"/>
      <c r="K320"/>
    </row>
    <row r="321" spans="1:11" s="26" customFormat="1">
      <c r="A321"/>
      <c r="B321"/>
      <c r="C321"/>
      <c r="D321"/>
      <c r="E321"/>
      <c r="F321"/>
      <c r="G321"/>
      <c r="H321"/>
      <c r="I321"/>
      <c r="J321"/>
      <c r="K321"/>
    </row>
    <row r="322" spans="1:11" s="26" customFormat="1">
      <c r="A322"/>
      <c r="B322"/>
      <c r="C322"/>
      <c r="D322"/>
      <c r="E322"/>
      <c r="F322"/>
      <c r="G322"/>
      <c r="H322"/>
      <c r="I322"/>
      <c r="J322"/>
      <c r="K322"/>
    </row>
    <row r="323" spans="1:11" s="26" customFormat="1">
      <c r="A323"/>
      <c r="B323"/>
      <c r="C323"/>
      <c r="D323"/>
      <c r="E323"/>
      <c r="F323"/>
      <c r="G323"/>
      <c r="H323"/>
      <c r="I323"/>
      <c r="J323"/>
      <c r="K323"/>
    </row>
    <row r="324" spans="1:11" s="26" customFormat="1">
      <c r="A324"/>
      <c r="B324"/>
      <c r="C324"/>
      <c r="D324"/>
      <c r="E324"/>
      <c r="F324"/>
      <c r="G324"/>
      <c r="H324"/>
      <c r="I324"/>
      <c r="J324"/>
      <c r="K324"/>
    </row>
    <row r="325" spans="1:11" s="26" customFormat="1">
      <c r="A325"/>
      <c r="B325"/>
      <c r="C325"/>
      <c r="D325"/>
      <c r="E325"/>
      <c r="F325"/>
      <c r="G325"/>
      <c r="H325"/>
      <c r="I325"/>
      <c r="J325"/>
      <c r="K325"/>
    </row>
    <row r="326" spans="1:11" s="26" customFormat="1">
      <c r="A326"/>
      <c r="B326"/>
      <c r="C326"/>
      <c r="D326"/>
      <c r="E326"/>
      <c r="F326"/>
      <c r="G326"/>
      <c r="H326"/>
      <c r="I326"/>
      <c r="J326"/>
      <c r="K326"/>
    </row>
    <row r="327" spans="1:11" s="26" customFormat="1">
      <c r="A327"/>
      <c r="B327"/>
      <c r="C327"/>
      <c r="D327"/>
      <c r="E327"/>
      <c r="F327"/>
      <c r="G327"/>
      <c r="H327"/>
      <c r="I327"/>
      <c r="J327"/>
      <c r="K327"/>
    </row>
    <row r="328" spans="1:11" s="26" customFormat="1">
      <c r="A328"/>
      <c r="B328"/>
      <c r="C328"/>
      <c r="D328"/>
      <c r="E328"/>
      <c r="F328"/>
      <c r="G328"/>
      <c r="H328"/>
      <c r="I328"/>
      <c r="J328"/>
      <c r="K328"/>
    </row>
    <row r="329" spans="1:11" s="26" customFormat="1">
      <c r="A329"/>
      <c r="B329"/>
      <c r="C329"/>
      <c r="D329"/>
      <c r="E329"/>
      <c r="F329"/>
      <c r="G329"/>
      <c r="H329"/>
      <c r="I329"/>
      <c r="J329"/>
      <c r="K329"/>
    </row>
    <row r="330" spans="1:11" s="26" customFormat="1">
      <c r="A330"/>
      <c r="B330"/>
      <c r="C330"/>
      <c r="D330"/>
      <c r="E330"/>
      <c r="F330"/>
      <c r="G330"/>
      <c r="H330"/>
      <c r="I330"/>
      <c r="J330"/>
      <c r="K330"/>
    </row>
    <row r="331" spans="1:11" s="26" customFormat="1">
      <c r="A331"/>
      <c r="B331"/>
      <c r="C331"/>
      <c r="D331"/>
      <c r="E331"/>
      <c r="F331"/>
      <c r="G331"/>
      <c r="H331"/>
      <c r="I331"/>
      <c r="J331"/>
      <c r="K331"/>
    </row>
    <row r="332" spans="1:11" s="26" customFormat="1">
      <c r="A332"/>
      <c r="B332"/>
      <c r="C332"/>
      <c r="D332"/>
      <c r="E332"/>
      <c r="F332"/>
      <c r="G332"/>
      <c r="H332"/>
      <c r="I332"/>
      <c r="J332"/>
      <c r="K332"/>
    </row>
    <row r="333" spans="1:11" s="26" customFormat="1">
      <c r="A333"/>
      <c r="B333"/>
      <c r="C333"/>
      <c r="D333"/>
      <c r="E333"/>
      <c r="F333"/>
      <c r="G333"/>
      <c r="H333"/>
      <c r="I333"/>
      <c r="J333"/>
      <c r="K333"/>
    </row>
    <row r="334" spans="1:11" s="26" customFormat="1">
      <c r="A334"/>
      <c r="B334"/>
      <c r="C334"/>
      <c r="D334"/>
      <c r="E334"/>
      <c r="F334"/>
      <c r="G334"/>
      <c r="H334"/>
      <c r="I334"/>
      <c r="J334"/>
      <c r="K334"/>
    </row>
    <row r="335" spans="1:11" s="26" customFormat="1">
      <c r="A335"/>
      <c r="B335"/>
      <c r="C335"/>
      <c r="D335"/>
      <c r="E335"/>
      <c r="F335"/>
      <c r="G335"/>
      <c r="H335"/>
      <c r="I335"/>
      <c r="J335"/>
      <c r="K335"/>
    </row>
    <row r="336" spans="1:11" s="26" customFormat="1">
      <c r="A336"/>
      <c r="B336"/>
      <c r="C336"/>
      <c r="D336"/>
      <c r="E336"/>
      <c r="F336"/>
      <c r="G336"/>
      <c r="H336"/>
      <c r="I336"/>
      <c r="J336"/>
      <c r="K336"/>
    </row>
    <row r="337" spans="1:11" s="26" customFormat="1">
      <c r="A337"/>
      <c r="B337"/>
      <c r="C337"/>
      <c r="D337"/>
      <c r="E337"/>
      <c r="F337"/>
      <c r="G337"/>
      <c r="H337"/>
      <c r="I337"/>
      <c r="J337"/>
      <c r="K337"/>
    </row>
    <row r="338" spans="1:11" s="26" customFormat="1">
      <c r="A338"/>
      <c r="B338"/>
      <c r="C338"/>
      <c r="D338"/>
      <c r="E338"/>
      <c r="F338"/>
      <c r="G338"/>
      <c r="H338"/>
      <c r="I338"/>
      <c r="J338"/>
      <c r="K338"/>
    </row>
    <row r="339" spans="1:11" s="26" customFormat="1">
      <c r="A339"/>
      <c r="B339"/>
      <c r="C339"/>
      <c r="D339"/>
      <c r="E339"/>
      <c r="F339"/>
      <c r="G339"/>
      <c r="H339"/>
      <c r="I339"/>
      <c r="J339"/>
      <c r="K339"/>
    </row>
    <row r="340" spans="1:11" s="26" customFormat="1">
      <c r="A340"/>
      <c r="B340"/>
      <c r="C340"/>
      <c r="D340"/>
      <c r="E340"/>
      <c r="F340"/>
      <c r="G340"/>
      <c r="H340"/>
      <c r="I340"/>
      <c r="J340"/>
      <c r="K340"/>
    </row>
    <row r="341" spans="1:11" s="26" customFormat="1">
      <c r="A341"/>
      <c r="B341"/>
      <c r="C341"/>
      <c r="D341"/>
      <c r="E341"/>
      <c r="F341"/>
      <c r="G341"/>
      <c r="H341"/>
      <c r="I341"/>
      <c r="J341"/>
      <c r="K341"/>
    </row>
    <row r="342" spans="1:11" s="26" customFormat="1">
      <c r="A342"/>
      <c r="B342"/>
      <c r="C342"/>
      <c r="D342"/>
      <c r="E342"/>
      <c r="F342"/>
      <c r="G342"/>
      <c r="H342"/>
      <c r="I342"/>
      <c r="J342"/>
      <c r="K342"/>
    </row>
    <row r="343" spans="1:11" s="26" customFormat="1">
      <c r="A343"/>
      <c r="B343"/>
      <c r="C343"/>
      <c r="D343"/>
      <c r="E343"/>
      <c r="F343"/>
      <c r="G343"/>
      <c r="H343"/>
      <c r="I343"/>
      <c r="J343"/>
      <c r="K343"/>
    </row>
    <row r="344" spans="1:11" s="26" customFormat="1">
      <c r="A344"/>
      <c r="B344"/>
      <c r="C344"/>
      <c r="D344"/>
      <c r="E344"/>
      <c r="F344"/>
      <c r="G344"/>
      <c r="H344"/>
      <c r="I344"/>
      <c r="J344"/>
      <c r="K344"/>
    </row>
    <row r="345" spans="1:11" s="26" customFormat="1">
      <c r="A345"/>
      <c r="B345"/>
      <c r="C345"/>
      <c r="D345"/>
      <c r="E345"/>
      <c r="F345"/>
      <c r="G345"/>
      <c r="H345"/>
      <c r="I345"/>
      <c r="J345"/>
      <c r="K345"/>
    </row>
    <row r="346" spans="1:11" s="26" customFormat="1">
      <c r="A346"/>
      <c r="B346"/>
      <c r="C346"/>
      <c r="D346"/>
      <c r="E346"/>
      <c r="F346"/>
      <c r="G346"/>
      <c r="H346"/>
      <c r="I346"/>
      <c r="J346"/>
      <c r="K346"/>
    </row>
    <row r="347" spans="1:11" s="26" customFormat="1">
      <c r="A347"/>
      <c r="B347"/>
      <c r="C347"/>
      <c r="D347"/>
      <c r="E347"/>
      <c r="F347"/>
      <c r="G347"/>
      <c r="H347"/>
      <c r="I347"/>
      <c r="J347"/>
      <c r="K347"/>
    </row>
    <row r="348" spans="1:11" s="26" customFormat="1">
      <c r="A348" s="25"/>
      <c r="B348"/>
      <c r="C348"/>
      <c r="D348"/>
      <c r="E348"/>
      <c r="F348"/>
      <c r="G348"/>
      <c r="H348"/>
      <c r="I348"/>
      <c r="J348"/>
      <c r="K348"/>
    </row>
    <row r="349" spans="1:11" s="26" customFormat="1">
      <c r="A349" s="25"/>
      <c r="B349"/>
      <c r="C349"/>
      <c r="D349"/>
      <c r="E349"/>
      <c r="F349"/>
      <c r="G349"/>
      <c r="H349"/>
      <c r="I349"/>
      <c r="J349"/>
      <c r="K349"/>
    </row>
    <row r="350" spans="1:11" s="26" customFormat="1">
      <c r="A350" s="25"/>
      <c r="B350"/>
      <c r="C350"/>
      <c r="D350"/>
      <c r="E350"/>
      <c r="F350"/>
      <c r="G350"/>
      <c r="H350"/>
      <c r="I350"/>
      <c r="J350"/>
      <c r="K350"/>
    </row>
    <row r="351" spans="1:11" s="26" customFormat="1">
      <c r="A351" s="25"/>
      <c r="B351"/>
      <c r="C351"/>
      <c r="D351"/>
      <c r="E351"/>
      <c r="F351"/>
      <c r="G351"/>
      <c r="H351"/>
      <c r="I351"/>
      <c r="J351"/>
      <c r="K351"/>
    </row>
    <row r="352" spans="1:11" s="26" customFormat="1">
      <c r="A352" s="25"/>
      <c r="B352"/>
      <c r="C352"/>
      <c r="D352"/>
      <c r="E352"/>
      <c r="F352"/>
      <c r="G352"/>
      <c r="H352"/>
      <c r="I352"/>
      <c r="J352"/>
      <c r="K352"/>
    </row>
    <row r="353" spans="1:11" s="26" customFormat="1">
      <c r="A353" s="25"/>
      <c r="B353"/>
      <c r="C353"/>
      <c r="D353"/>
      <c r="E353"/>
      <c r="F353"/>
      <c r="G353"/>
      <c r="H353"/>
      <c r="I353"/>
      <c r="J353"/>
      <c r="K353"/>
    </row>
    <row r="354" spans="1:11" s="26" customFormat="1">
      <c r="A354" s="25"/>
      <c r="B354"/>
      <c r="C354"/>
      <c r="D354"/>
      <c r="E354"/>
      <c r="F354"/>
      <c r="G354"/>
      <c r="H354"/>
      <c r="I354"/>
      <c r="J354"/>
      <c r="K354"/>
    </row>
    <row r="355" spans="1:11" s="26" customFormat="1">
      <c r="A355" s="25"/>
      <c r="B355"/>
      <c r="C355"/>
      <c r="D355"/>
      <c r="E355"/>
      <c r="F355"/>
      <c r="G355"/>
      <c r="H355"/>
      <c r="I355"/>
      <c r="J355"/>
      <c r="K355"/>
    </row>
    <row r="356" spans="1:11" s="26" customFormat="1">
      <c r="A356" s="25"/>
      <c r="B356"/>
      <c r="C356"/>
      <c r="D356"/>
      <c r="E356"/>
      <c r="F356"/>
      <c r="G356"/>
      <c r="H356"/>
      <c r="I356"/>
      <c r="J356"/>
      <c r="K356"/>
    </row>
    <row r="357" spans="1:11" s="26" customFormat="1">
      <c r="A357" s="25"/>
      <c r="B357"/>
      <c r="C357"/>
      <c r="D357"/>
      <c r="E357"/>
      <c r="F357"/>
      <c r="G357"/>
      <c r="H357"/>
      <c r="I357"/>
      <c r="J357"/>
      <c r="K357"/>
    </row>
    <row r="358" spans="1:11" s="26" customFormat="1">
      <c r="A358" s="25"/>
      <c r="B358"/>
      <c r="C358"/>
      <c r="D358"/>
      <c r="E358"/>
      <c r="F358"/>
      <c r="G358"/>
      <c r="H358"/>
      <c r="I358"/>
      <c r="J358"/>
      <c r="K358"/>
    </row>
    <row r="359" spans="1:11" s="26" customFormat="1">
      <c r="A359" s="25"/>
      <c r="B359"/>
      <c r="C359"/>
      <c r="D359"/>
      <c r="E359"/>
      <c r="F359"/>
      <c r="G359"/>
      <c r="H359"/>
      <c r="I359"/>
      <c r="J359"/>
      <c r="K359"/>
    </row>
    <row r="360" spans="1:11" s="26" customFormat="1">
      <c r="A360" s="25"/>
      <c r="B360"/>
      <c r="C360"/>
      <c r="D360"/>
      <c r="E360"/>
      <c r="F360"/>
      <c r="G360"/>
      <c r="H360"/>
      <c r="I360"/>
      <c r="J360"/>
      <c r="K360"/>
    </row>
    <row r="361" spans="1:11" s="26" customFormat="1">
      <c r="A361" s="25"/>
      <c r="B361"/>
      <c r="C361"/>
      <c r="D361"/>
      <c r="E361"/>
      <c r="F361"/>
      <c r="G361"/>
      <c r="H361"/>
      <c r="I361"/>
      <c r="J361"/>
      <c r="K361"/>
    </row>
    <row r="362" spans="1:11" s="26" customFormat="1">
      <c r="A362" s="25"/>
      <c r="B362"/>
      <c r="C362"/>
      <c r="D362"/>
      <c r="E362"/>
      <c r="F362"/>
      <c r="G362"/>
      <c r="H362"/>
      <c r="I362"/>
      <c r="J362"/>
      <c r="K362"/>
    </row>
    <row r="363" spans="1:11" s="26" customFormat="1">
      <c r="A363" s="25"/>
      <c r="B363"/>
      <c r="C363"/>
      <c r="D363"/>
      <c r="E363"/>
      <c r="F363"/>
      <c r="G363"/>
      <c r="H363"/>
      <c r="I363"/>
      <c r="J363"/>
      <c r="K363"/>
    </row>
    <row r="364" spans="1:11" s="26" customFormat="1">
      <c r="A364" s="25"/>
      <c r="B364"/>
      <c r="C364"/>
      <c r="D364"/>
      <c r="E364"/>
      <c r="F364"/>
      <c r="G364"/>
      <c r="H364"/>
      <c r="I364"/>
      <c r="J364"/>
      <c r="K364"/>
    </row>
    <row r="365" spans="1:11" s="26" customFormat="1">
      <c r="A365" s="25"/>
      <c r="B365"/>
      <c r="C365"/>
      <c r="D365"/>
      <c r="E365"/>
      <c r="F365"/>
      <c r="G365"/>
      <c r="H365"/>
      <c r="I365"/>
      <c r="J365"/>
      <c r="K365"/>
    </row>
    <row r="366" spans="1:11" s="26" customFormat="1">
      <c r="A366" s="25"/>
      <c r="B366"/>
      <c r="C366"/>
      <c r="D366"/>
      <c r="E366"/>
      <c r="F366"/>
      <c r="G366"/>
      <c r="H366"/>
      <c r="I366"/>
      <c r="J366"/>
      <c r="K366"/>
    </row>
    <row r="367" spans="1:11" s="26" customFormat="1">
      <c r="A367" s="25"/>
      <c r="B367"/>
      <c r="C367"/>
      <c r="D367"/>
      <c r="E367"/>
      <c r="F367"/>
      <c r="G367"/>
      <c r="H367"/>
      <c r="I367"/>
      <c r="J367"/>
      <c r="K367"/>
    </row>
    <row r="368" spans="1:11" s="26" customFormat="1">
      <c r="A368" s="25"/>
      <c r="B368"/>
      <c r="C368"/>
      <c r="D368"/>
      <c r="E368"/>
      <c r="F368"/>
      <c r="G368"/>
      <c r="H368"/>
      <c r="I368"/>
      <c r="J368"/>
      <c r="K368"/>
    </row>
    <row r="369" spans="1:11" s="26" customFormat="1">
      <c r="A369" s="25"/>
      <c r="B369"/>
      <c r="C369"/>
      <c r="D369"/>
      <c r="E369"/>
      <c r="F369"/>
      <c r="G369"/>
      <c r="H369"/>
      <c r="I369"/>
      <c r="J369"/>
      <c r="K369"/>
    </row>
    <row r="370" spans="1:11" s="26" customFormat="1">
      <c r="A370" s="25"/>
      <c r="B370"/>
      <c r="C370"/>
      <c r="D370"/>
      <c r="E370"/>
      <c r="F370"/>
      <c r="G370"/>
      <c r="H370"/>
      <c r="I370"/>
      <c r="J370"/>
      <c r="K370"/>
    </row>
    <row r="371" spans="1:11" s="26" customFormat="1">
      <c r="A371" s="25"/>
      <c r="B371"/>
      <c r="C371"/>
      <c r="D371"/>
      <c r="E371"/>
      <c r="F371"/>
      <c r="G371"/>
      <c r="H371"/>
      <c r="I371"/>
      <c r="J371"/>
      <c r="K371"/>
    </row>
    <row r="372" spans="1:11" s="26" customFormat="1">
      <c r="A372" s="25"/>
      <c r="B372"/>
      <c r="C372"/>
      <c r="D372"/>
      <c r="E372"/>
      <c r="F372"/>
      <c r="G372"/>
      <c r="H372"/>
      <c r="I372"/>
      <c r="J372"/>
      <c r="K372"/>
    </row>
    <row r="373" spans="1:11" s="26" customFormat="1">
      <c r="A373" s="25"/>
      <c r="B373"/>
      <c r="C373"/>
      <c r="D373"/>
      <c r="E373"/>
      <c r="F373"/>
      <c r="G373"/>
      <c r="H373"/>
      <c r="I373"/>
      <c r="J373"/>
      <c r="K373"/>
    </row>
    <row r="374" spans="1:11" s="26" customFormat="1">
      <c r="A374" s="25"/>
      <c r="B374"/>
      <c r="C374"/>
      <c r="D374"/>
      <c r="E374"/>
      <c r="F374"/>
      <c r="G374"/>
      <c r="H374"/>
      <c r="I374"/>
      <c r="J374"/>
      <c r="K374"/>
    </row>
    <row r="375" spans="1:11" s="26" customFormat="1">
      <c r="A375" s="25"/>
      <c r="B375"/>
      <c r="C375"/>
      <c r="D375"/>
      <c r="E375"/>
      <c r="F375"/>
      <c r="G375"/>
      <c r="H375"/>
      <c r="I375"/>
      <c r="J375"/>
      <c r="K375"/>
    </row>
    <row r="376" spans="1:11" s="26" customFormat="1">
      <c r="A376" s="25"/>
      <c r="B376"/>
      <c r="C376"/>
      <c r="D376"/>
      <c r="E376"/>
      <c r="F376"/>
      <c r="G376"/>
      <c r="H376"/>
      <c r="I376"/>
      <c r="J376"/>
      <c r="K376"/>
    </row>
    <row r="377" spans="1:11" s="26" customFormat="1">
      <c r="A377" s="25"/>
      <c r="B377"/>
      <c r="C377"/>
      <c r="D377"/>
      <c r="E377"/>
      <c r="F377"/>
      <c r="G377"/>
      <c r="H377"/>
      <c r="I377"/>
      <c r="J377"/>
      <c r="K377"/>
    </row>
    <row r="378" spans="1:11" s="26" customFormat="1">
      <c r="A378" s="25"/>
      <c r="B378"/>
      <c r="C378"/>
      <c r="D378"/>
      <c r="E378"/>
      <c r="F378"/>
      <c r="G378"/>
      <c r="H378"/>
      <c r="I378"/>
      <c r="J378"/>
      <c r="K378"/>
    </row>
    <row r="379" spans="1:11" s="26" customFormat="1">
      <c r="A379" s="25"/>
      <c r="B379"/>
      <c r="C379"/>
      <c r="D379"/>
      <c r="E379"/>
      <c r="F379"/>
      <c r="G379"/>
      <c r="H379"/>
      <c r="I379"/>
      <c r="J379"/>
      <c r="K379"/>
    </row>
    <row r="380" spans="1:11" s="26" customFormat="1">
      <c r="A380" s="25"/>
      <c r="B380"/>
      <c r="C380"/>
      <c r="D380"/>
      <c r="E380"/>
      <c r="F380"/>
      <c r="G380"/>
      <c r="H380"/>
      <c r="I380"/>
      <c r="J380"/>
      <c r="K380"/>
    </row>
    <row r="381" spans="1:11" s="26" customFormat="1">
      <c r="A381" s="25"/>
      <c r="B381"/>
      <c r="C381"/>
      <c r="D381"/>
      <c r="E381"/>
      <c r="F381"/>
      <c r="G381"/>
      <c r="H381"/>
      <c r="I381"/>
      <c r="J381"/>
      <c r="K381"/>
    </row>
    <row r="382" spans="1:11" s="26" customFormat="1">
      <c r="A382" s="25"/>
      <c r="B382"/>
      <c r="C382"/>
      <c r="D382"/>
      <c r="E382"/>
      <c r="F382"/>
      <c r="G382"/>
      <c r="H382"/>
      <c r="I382"/>
      <c r="J382"/>
      <c r="K382"/>
    </row>
    <row r="383" spans="1:11" s="26" customFormat="1">
      <c r="A383" s="25"/>
      <c r="B383"/>
      <c r="C383"/>
      <c r="D383"/>
      <c r="E383"/>
      <c r="F383"/>
      <c r="G383"/>
      <c r="H383"/>
      <c r="I383"/>
      <c r="J383"/>
      <c r="K383"/>
    </row>
    <row r="384" spans="1:11" s="26" customFormat="1">
      <c r="A384" s="25"/>
      <c r="B384"/>
      <c r="C384"/>
      <c r="D384"/>
      <c r="E384"/>
      <c r="F384"/>
      <c r="G384"/>
      <c r="H384"/>
      <c r="I384"/>
      <c r="J384"/>
      <c r="K384"/>
    </row>
    <row r="385" spans="1:11" s="26" customFormat="1">
      <c r="A385" s="25"/>
      <c r="B385"/>
      <c r="C385"/>
      <c r="D385"/>
      <c r="E385"/>
      <c r="F385"/>
      <c r="G385"/>
      <c r="H385"/>
      <c r="I385"/>
      <c r="J385"/>
      <c r="K385"/>
    </row>
    <row r="386" spans="1:11" s="26" customFormat="1">
      <c r="A386" s="25"/>
      <c r="B386"/>
      <c r="C386"/>
      <c r="D386"/>
      <c r="E386"/>
      <c r="F386"/>
      <c r="G386"/>
      <c r="H386"/>
      <c r="I386"/>
      <c r="J386"/>
      <c r="K386"/>
    </row>
    <row r="387" spans="1:11" s="26" customFormat="1">
      <c r="A387" s="25"/>
      <c r="B387"/>
      <c r="C387"/>
      <c r="D387"/>
      <c r="E387"/>
      <c r="F387"/>
      <c r="G387"/>
      <c r="H387"/>
      <c r="I387"/>
      <c r="J387"/>
      <c r="K387"/>
    </row>
    <row r="388" spans="1:11" s="26" customFormat="1">
      <c r="A388" s="25"/>
      <c r="B388"/>
      <c r="C388"/>
      <c r="D388"/>
      <c r="E388"/>
      <c r="F388"/>
      <c r="G388"/>
      <c r="H388"/>
      <c r="I388"/>
      <c r="J388"/>
      <c r="K388"/>
    </row>
    <row r="389" spans="1:11" s="26" customFormat="1">
      <c r="A389" s="25"/>
      <c r="B389"/>
      <c r="C389"/>
      <c r="D389"/>
      <c r="E389"/>
      <c r="F389"/>
      <c r="G389"/>
      <c r="H389"/>
      <c r="I389"/>
      <c r="J389"/>
      <c r="K389"/>
    </row>
    <row r="390" spans="1:11" s="26" customFormat="1">
      <c r="A390" s="25"/>
      <c r="B390"/>
      <c r="C390"/>
      <c r="D390"/>
      <c r="E390"/>
      <c r="F390"/>
      <c r="G390"/>
      <c r="H390"/>
      <c r="I390"/>
      <c r="J390"/>
      <c r="K390"/>
    </row>
    <row r="391" spans="1:11" s="26" customFormat="1">
      <c r="A391" s="25"/>
      <c r="B391"/>
      <c r="C391"/>
      <c r="D391"/>
      <c r="E391"/>
      <c r="F391"/>
      <c r="G391"/>
      <c r="H391"/>
      <c r="I391"/>
      <c r="J391"/>
      <c r="K391"/>
    </row>
    <row r="392" spans="1:11" s="26" customFormat="1">
      <c r="A392" s="25"/>
      <c r="B392"/>
      <c r="C392"/>
      <c r="D392"/>
      <c r="E392"/>
      <c r="F392"/>
      <c r="G392"/>
      <c r="H392"/>
      <c r="I392"/>
      <c r="J392"/>
      <c r="K392"/>
    </row>
    <row r="393" spans="1:11" s="26" customFormat="1">
      <c r="A393" s="25"/>
      <c r="B393"/>
      <c r="C393"/>
      <c r="D393"/>
      <c r="E393"/>
      <c r="F393"/>
      <c r="G393"/>
      <c r="H393"/>
      <c r="I393"/>
      <c r="J393"/>
      <c r="K393"/>
    </row>
    <row r="394" spans="1:11" s="26" customFormat="1">
      <c r="A394" s="25"/>
      <c r="B394"/>
      <c r="C394"/>
      <c r="D394"/>
      <c r="E394"/>
      <c r="F394"/>
      <c r="G394"/>
      <c r="H394"/>
      <c r="I394"/>
      <c r="J394"/>
      <c r="K394"/>
    </row>
    <row r="395" spans="1:11" s="26" customFormat="1">
      <c r="A395" s="25"/>
      <c r="B395"/>
      <c r="C395"/>
      <c r="D395"/>
      <c r="E395"/>
      <c r="F395"/>
      <c r="G395"/>
      <c r="H395"/>
      <c r="I395"/>
      <c r="J395"/>
      <c r="K395"/>
    </row>
    <row r="396" spans="1:11" s="26" customFormat="1">
      <c r="A396" s="25"/>
      <c r="B396"/>
      <c r="C396"/>
      <c r="D396"/>
      <c r="E396"/>
      <c r="F396"/>
      <c r="G396"/>
      <c r="H396"/>
      <c r="I396"/>
      <c r="J396"/>
      <c r="K396"/>
    </row>
    <row r="397" spans="1:11" s="26" customFormat="1">
      <c r="A397" s="25"/>
      <c r="B397"/>
      <c r="C397"/>
      <c r="D397"/>
      <c r="E397"/>
      <c r="F397"/>
      <c r="G397"/>
      <c r="H397"/>
      <c r="I397"/>
      <c r="J397"/>
      <c r="K397"/>
    </row>
    <row r="398" spans="1:11" s="26" customFormat="1">
      <c r="A398" s="25"/>
      <c r="B398"/>
      <c r="C398"/>
      <c r="D398"/>
      <c r="E398"/>
      <c r="F398"/>
      <c r="G398"/>
      <c r="H398"/>
      <c r="I398"/>
      <c r="J398"/>
      <c r="K398"/>
    </row>
    <row r="399" spans="1:11" s="26" customFormat="1">
      <c r="A399" s="25"/>
      <c r="B399"/>
      <c r="C399"/>
      <c r="D399"/>
      <c r="E399"/>
      <c r="F399"/>
      <c r="G399"/>
      <c r="H399"/>
      <c r="I399"/>
      <c r="J399"/>
      <c r="K399"/>
    </row>
    <row r="400" spans="1:11" s="26" customFormat="1">
      <c r="A400" s="25"/>
      <c r="B400"/>
      <c r="C400"/>
      <c r="D400"/>
      <c r="E400"/>
      <c r="F400"/>
      <c r="G400"/>
      <c r="H400"/>
      <c r="I400"/>
      <c r="J400"/>
      <c r="K400"/>
    </row>
    <row r="401" spans="1:11" s="26" customFormat="1">
      <c r="A401" s="25"/>
      <c r="B401"/>
      <c r="C401"/>
      <c r="D401"/>
      <c r="E401"/>
      <c r="F401"/>
      <c r="G401"/>
      <c r="H401"/>
      <c r="I401"/>
      <c r="J401"/>
      <c r="K401"/>
    </row>
    <row r="402" spans="1:11" s="26" customFormat="1">
      <c r="A402" s="25"/>
      <c r="B402"/>
      <c r="C402"/>
      <c r="D402"/>
      <c r="E402"/>
      <c r="F402"/>
      <c r="G402"/>
      <c r="H402"/>
      <c r="I402"/>
      <c r="J402"/>
      <c r="K402"/>
    </row>
    <row r="403" spans="1:11" s="26" customFormat="1">
      <c r="A403" s="25"/>
      <c r="B403"/>
      <c r="C403"/>
      <c r="D403"/>
      <c r="E403"/>
      <c r="F403"/>
      <c r="G403"/>
      <c r="H403"/>
      <c r="I403"/>
      <c r="J403"/>
      <c r="K403"/>
    </row>
    <row r="404" spans="1:11" s="26" customFormat="1">
      <c r="A404" s="25"/>
      <c r="B404"/>
      <c r="C404"/>
      <c r="D404"/>
      <c r="E404"/>
      <c r="F404"/>
      <c r="G404"/>
      <c r="H404"/>
      <c r="I404"/>
      <c r="J404"/>
      <c r="K404"/>
    </row>
    <row r="405" spans="1:11" s="26" customFormat="1">
      <c r="A405" s="25"/>
      <c r="B405"/>
      <c r="C405"/>
      <c r="D405"/>
      <c r="E405"/>
      <c r="F405"/>
      <c r="G405"/>
      <c r="H405"/>
      <c r="I405"/>
      <c r="J405"/>
      <c r="K405"/>
    </row>
    <row r="406" spans="1:11" s="26" customFormat="1">
      <c r="A406" s="25"/>
      <c r="B406"/>
      <c r="C406"/>
      <c r="D406"/>
      <c r="E406"/>
      <c r="F406"/>
      <c r="G406"/>
      <c r="H406"/>
      <c r="I406"/>
      <c r="J406"/>
      <c r="K406"/>
    </row>
    <row r="407" spans="1:11" s="26" customFormat="1">
      <c r="A407" s="25"/>
      <c r="B407"/>
      <c r="C407"/>
      <c r="D407"/>
      <c r="E407"/>
      <c r="F407"/>
      <c r="G407"/>
      <c r="H407"/>
      <c r="I407"/>
      <c r="J407"/>
      <c r="K407"/>
    </row>
    <row r="408" spans="1:11" s="26" customFormat="1">
      <c r="A408" s="25"/>
      <c r="B408"/>
      <c r="C408"/>
      <c r="D408"/>
      <c r="E408"/>
      <c r="F408"/>
      <c r="G408"/>
      <c r="H408"/>
      <c r="I408"/>
      <c r="J408"/>
      <c r="K408"/>
    </row>
    <row r="409" spans="1:11" s="26" customFormat="1">
      <c r="A409" s="25"/>
      <c r="B409"/>
      <c r="C409"/>
      <c r="D409"/>
      <c r="E409"/>
      <c r="F409"/>
      <c r="G409"/>
      <c r="H409"/>
      <c r="I409"/>
      <c r="J409"/>
      <c r="K409"/>
    </row>
    <row r="410" spans="1:11" s="26" customFormat="1">
      <c r="A410" s="25"/>
      <c r="B410"/>
      <c r="C410"/>
      <c r="D410"/>
      <c r="E410"/>
      <c r="F410"/>
      <c r="G410"/>
      <c r="H410"/>
      <c r="I410"/>
      <c r="J410"/>
      <c r="K410"/>
    </row>
    <row r="411" spans="1:11" s="26" customFormat="1">
      <c r="A411" s="25"/>
      <c r="B411"/>
      <c r="C411"/>
      <c r="D411"/>
      <c r="E411"/>
      <c r="F411"/>
      <c r="G411"/>
      <c r="H411"/>
      <c r="I411"/>
      <c r="J411"/>
      <c r="K411"/>
    </row>
    <row r="412" spans="1:11" s="26" customFormat="1">
      <c r="A412" s="25"/>
      <c r="B412"/>
      <c r="C412"/>
      <c r="D412"/>
      <c r="E412"/>
      <c r="F412"/>
      <c r="G412"/>
      <c r="H412"/>
      <c r="I412"/>
      <c r="J412"/>
      <c r="K412"/>
    </row>
    <row r="413" spans="1:11" s="26" customFormat="1">
      <c r="A413" s="25"/>
      <c r="B413"/>
      <c r="C413"/>
      <c r="D413"/>
      <c r="E413"/>
      <c r="F413"/>
      <c r="G413"/>
      <c r="H413"/>
      <c r="I413"/>
      <c r="J413"/>
      <c r="K413"/>
    </row>
    <row r="414" spans="1:11" s="26" customFormat="1">
      <c r="A414" s="25"/>
      <c r="B414"/>
      <c r="C414"/>
      <c r="D414"/>
      <c r="E414"/>
      <c r="F414"/>
      <c r="G414"/>
      <c r="H414"/>
      <c r="I414"/>
      <c r="J414"/>
      <c r="K414"/>
    </row>
    <row r="415" spans="1:11" s="26" customFormat="1">
      <c r="A415" s="25"/>
      <c r="B415"/>
      <c r="C415"/>
      <c r="D415"/>
      <c r="E415"/>
      <c r="F415"/>
      <c r="G415"/>
      <c r="H415"/>
      <c r="I415"/>
      <c r="J415"/>
      <c r="K415"/>
    </row>
    <row r="416" spans="1:11" s="26" customFormat="1">
      <c r="A416" s="25"/>
      <c r="B416"/>
      <c r="C416"/>
      <c r="D416"/>
      <c r="E416"/>
      <c r="F416"/>
      <c r="G416"/>
      <c r="H416"/>
      <c r="I416"/>
      <c r="J416"/>
      <c r="K416"/>
    </row>
    <row r="417" spans="1:11" s="26" customFormat="1">
      <c r="A417" s="25"/>
      <c r="B417"/>
      <c r="C417"/>
      <c r="D417"/>
      <c r="E417"/>
      <c r="F417"/>
      <c r="G417"/>
      <c r="H417"/>
      <c r="I417"/>
      <c r="J417"/>
      <c r="K417"/>
    </row>
    <row r="418" spans="1:11" s="26" customFormat="1">
      <c r="A418" s="25"/>
      <c r="B418"/>
      <c r="C418"/>
      <c r="D418"/>
      <c r="E418"/>
      <c r="F418"/>
      <c r="G418"/>
      <c r="H418"/>
      <c r="I418"/>
      <c r="J418"/>
      <c r="K418"/>
    </row>
    <row r="419" spans="1:11" s="26" customFormat="1">
      <c r="A419" s="25"/>
      <c r="B419"/>
      <c r="C419"/>
      <c r="D419"/>
      <c r="E419"/>
      <c r="F419"/>
      <c r="G419"/>
      <c r="H419"/>
      <c r="I419"/>
      <c r="J419"/>
      <c r="K419"/>
    </row>
    <row r="420" spans="1:11" s="26" customFormat="1">
      <c r="A420" s="25"/>
      <c r="B420"/>
      <c r="C420"/>
      <c r="D420"/>
      <c r="E420"/>
      <c r="F420"/>
      <c r="G420"/>
      <c r="H420"/>
      <c r="I420"/>
      <c r="J420"/>
      <c r="K420"/>
    </row>
    <row r="421" spans="1:11" s="26" customFormat="1">
      <c r="A421" s="25"/>
      <c r="B421"/>
      <c r="C421"/>
      <c r="D421"/>
      <c r="E421"/>
      <c r="F421"/>
      <c r="G421"/>
      <c r="H421"/>
      <c r="I421"/>
      <c r="J421"/>
      <c r="K421"/>
    </row>
    <row r="422" spans="1:11" s="26" customFormat="1">
      <c r="A422" s="25"/>
      <c r="B422"/>
      <c r="C422"/>
      <c r="D422"/>
      <c r="E422"/>
      <c r="F422"/>
      <c r="G422"/>
      <c r="H422"/>
      <c r="I422"/>
      <c r="J422"/>
      <c r="K422"/>
    </row>
    <row r="423" spans="1:11" s="26" customFormat="1">
      <c r="A423" s="25"/>
      <c r="B423"/>
      <c r="C423"/>
      <c r="D423"/>
      <c r="E423"/>
      <c r="F423"/>
      <c r="G423"/>
      <c r="H423"/>
      <c r="I423"/>
      <c r="J423"/>
      <c r="K423"/>
    </row>
    <row r="424" spans="1:11" s="26" customFormat="1">
      <c r="A424" s="25"/>
      <c r="B424"/>
      <c r="C424"/>
      <c r="D424"/>
      <c r="E424"/>
      <c r="F424"/>
      <c r="G424"/>
      <c r="H424"/>
      <c r="I424"/>
      <c r="J424"/>
      <c r="K424"/>
    </row>
    <row r="425" spans="1:11" s="26" customFormat="1">
      <c r="A425" s="25"/>
      <c r="B425"/>
      <c r="C425"/>
      <c r="D425"/>
      <c r="E425"/>
      <c r="F425"/>
      <c r="G425"/>
      <c r="H425"/>
      <c r="I425"/>
      <c r="J425"/>
      <c r="K425"/>
    </row>
    <row r="426" spans="1:11" s="26" customFormat="1">
      <c r="A426" s="25"/>
      <c r="B426"/>
      <c r="C426"/>
      <c r="D426"/>
      <c r="E426"/>
      <c r="F426"/>
      <c r="G426"/>
      <c r="H426"/>
      <c r="I426"/>
      <c r="J426"/>
      <c r="K426"/>
    </row>
    <row r="427" spans="1:11" s="26" customFormat="1">
      <c r="A427" s="25"/>
      <c r="B427"/>
      <c r="C427"/>
      <c r="D427"/>
      <c r="E427"/>
      <c r="F427"/>
      <c r="G427"/>
      <c r="H427"/>
      <c r="I427"/>
      <c r="J427"/>
      <c r="K427"/>
    </row>
    <row r="428" spans="1:11" s="26" customFormat="1">
      <c r="A428" s="25"/>
      <c r="B428"/>
      <c r="C428"/>
      <c r="D428"/>
      <c r="E428"/>
      <c r="F428"/>
      <c r="G428"/>
      <c r="H428"/>
      <c r="I428"/>
      <c r="J428"/>
      <c r="K428"/>
    </row>
    <row r="429" spans="1:11" s="26" customFormat="1">
      <c r="A429" s="25"/>
      <c r="B429"/>
      <c r="C429"/>
      <c r="D429"/>
      <c r="E429"/>
      <c r="F429"/>
      <c r="G429"/>
      <c r="H429"/>
      <c r="I429"/>
      <c r="J429"/>
      <c r="K429"/>
    </row>
    <row r="430" spans="1:11" s="26" customFormat="1">
      <c r="A430" s="25"/>
      <c r="B430"/>
      <c r="C430"/>
      <c r="D430"/>
      <c r="E430"/>
      <c r="F430"/>
      <c r="G430"/>
      <c r="H430"/>
      <c r="I430"/>
      <c r="J430"/>
      <c r="K430"/>
    </row>
    <row r="431" spans="1:11" s="26" customFormat="1">
      <c r="A431" s="25"/>
      <c r="B431"/>
      <c r="C431"/>
      <c r="D431"/>
      <c r="E431"/>
      <c r="F431"/>
      <c r="G431"/>
      <c r="H431"/>
      <c r="I431"/>
      <c r="J431"/>
      <c r="K431"/>
    </row>
    <row r="432" spans="1:11" s="26" customFormat="1">
      <c r="A432" s="25"/>
      <c r="B432"/>
      <c r="C432"/>
      <c r="D432"/>
      <c r="E432"/>
      <c r="F432"/>
      <c r="G432"/>
      <c r="H432"/>
      <c r="I432"/>
      <c r="J432"/>
      <c r="K432"/>
    </row>
    <row r="433" spans="1:11" s="26" customFormat="1">
      <c r="A433" s="25"/>
      <c r="B433"/>
      <c r="C433"/>
      <c r="D433"/>
      <c r="E433"/>
      <c r="F433"/>
      <c r="G433"/>
      <c r="H433"/>
      <c r="I433"/>
      <c r="J433"/>
      <c r="K433"/>
    </row>
    <row r="434" spans="1:11" s="26" customFormat="1">
      <c r="A434" s="25"/>
      <c r="B434"/>
      <c r="C434"/>
      <c r="D434"/>
      <c r="E434"/>
      <c r="F434"/>
      <c r="G434"/>
      <c r="H434"/>
      <c r="I434"/>
      <c r="J434"/>
      <c r="K434"/>
    </row>
    <row r="435" spans="1:11" s="26" customFormat="1">
      <c r="A435" s="25"/>
      <c r="B435"/>
      <c r="C435"/>
      <c r="D435"/>
      <c r="E435"/>
      <c r="F435"/>
      <c r="G435"/>
      <c r="H435"/>
      <c r="I435"/>
      <c r="J435"/>
      <c r="K435"/>
    </row>
    <row r="436" spans="1:11" s="26" customFormat="1">
      <c r="A436" s="25"/>
      <c r="B436"/>
      <c r="C436"/>
      <c r="D436"/>
      <c r="E436"/>
      <c r="F436"/>
      <c r="G436"/>
      <c r="H436"/>
      <c r="I436"/>
      <c r="J436"/>
      <c r="K436"/>
    </row>
    <row r="437" spans="1:11" s="26" customFormat="1">
      <c r="A437" s="25"/>
      <c r="B437"/>
      <c r="C437"/>
      <c r="D437"/>
      <c r="E437"/>
      <c r="F437"/>
      <c r="G437"/>
      <c r="H437"/>
      <c r="I437"/>
      <c r="J437"/>
      <c r="K437"/>
    </row>
    <row r="438" spans="1:11" s="26" customFormat="1">
      <c r="A438" s="25"/>
      <c r="B438"/>
      <c r="C438"/>
      <c r="D438"/>
      <c r="E438"/>
      <c r="F438"/>
      <c r="G438"/>
      <c r="H438"/>
      <c r="I438"/>
      <c r="J438"/>
      <c r="K438"/>
    </row>
    <row r="439" spans="1:11" s="26" customFormat="1">
      <c r="A439" s="25"/>
      <c r="B439"/>
      <c r="C439"/>
      <c r="D439"/>
      <c r="E439"/>
      <c r="F439"/>
      <c r="G439"/>
      <c r="H439"/>
      <c r="I439"/>
      <c r="J439"/>
      <c r="K439"/>
    </row>
    <row r="440" spans="1:11" s="26" customFormat="1">
      <c r="A440" s="25"/>
      <c r="B440"/>
      <c r="C440"/>
      <c r="D440"/>
      <c r="E440"/>
      <c r="F440"/>
      <c r="G440"/>
      <c r="H440"/>
      <c r="I440"/>
      <c r="J440"/>
      <c r="K440"/>
    </row>
    <row r="441" spans="1:11" s="26" customFormat="1">
      <c r="A441" s="25"/>
      <c r="B441"/>
      <c r="C441"/>
      <c r="D441"/>
      <c r="E441"/>
      <c r="F441"/>
      <c r="G441"/>
      <c r="H441"/>
      <c r="I441"/>
      <c r="J441"/>
      <c r="K441"/>
    </row>
    <row r="442" spans="1:11" s="26" customFormat="1">
      <c r="A442" s="25"/>
      <c r="B442"/>
      <c r="C442"/>
      <c r="D442"/>
      <c r="E442"/>
      <c r="F442"/>
      <c r="G442"/>
      <c r="H442"/>
      <c r="I442"/>
      <c r="J442"/>
      <c r="K442"/>
    </row>
    <row r="443" spans="1:11" s="26" customFormat="1">
      <c r="A443" s="25"/>
      <c r="B443"/>
      <c r="C443"/>
      <c r="D443"/>
      <c r="E443"/>
      <c r="F443"/>
      <c r="G443"/>
      <c r="H443"/>
      <c r="I443"/>
      <c r="J443"/>
      <c r="K443"/>
    </row>
    <row r="444" spans="1:11" s="26" customFormat="1">
      <c r="A444" s="25"/>
      <c r="B444"/>
      <c r="C444"/>
      <c r="D444"/>
      <c r="E444"/>
      <c r="F444"/>
      <c r="G444"/>
      <c r="H444"/>
      <c r="I444"/>
      <c r="J444"/>
      <c r="K444"/>
    </row>
    <row r="445" spans="1:11" s="26" customFormat="1">
      <c r="A445" s="25"/>
      <c r="B445"/>
      <c r="C445"/>
      <c r="D445"/>
      <c r="E445"/>
      <c r="F445"/>
      <c r="G445"/>
      <c r="H445"/>
      <c r="I445"/>
      <c r="J445"/>
      <c r="K445"/>
    </row>
    <row r="446" spans="1:11" s="26" customFormat="1">
      <c r="A446" s="25"/>
      <c r="B446"/>
      <c r="C446"/>
      <c r="D446"/>
      <c r="E446"/>
      <c r="F446"/>
      <c r="G446"/>
      <c r="H446"/>
      <c r="I446"/>
      <c r="J446"/>
      <c r="K446"/>
    </row>
    <row r="447" spans="1:11" s="26" customFormat="1">
      <c r="A447" s="25"/>
      <c r="B447"/>
      <c r="C447"/>
      <c r="D447"/>
      <c r="E447"/>
      <c r="F447"/>
      <c r="G447"/>
      <c r="H447"/>
      <c r="I447"/>
      <c r="J447"/>
      <c r="K447"/>
    </row>
    <row r="448" spans="1:11" s="26" customFormat="1">
      <c r="A448" s="25"/>
      <c r="B448"/>
      <c r="C448"/>
      <c r="D448"/>
      <c r="E448"/>
      <c r="F448"/>
      <c r="G448"/>
      <c r="H448"/>
      <c r="I448"/>
      <c r="J448"/>
      <c r="K448"/>
    </row>
    <row r="449" spans="1:11" s="26" customFormat="1">
      <c r="A449" s="25"/>
      <c r="B449"/>
      <c r="C449"/>
      <c r="D449"/>
      <c r="E449"/>
      <c r="F449"/>
      <c r="G449"/>
      <c r="H449"/>
      <c r="I449"/>
      <c r="J449"/>
      <c r="K449"/>
    </row>
    <row r="450" spans="1:11" s="26" customFormat="1">
      <c r="A450" s="25"/>
      <c r="B450"/>
      <c r="C450"/>
      <c r="D450"/>
      <c r="E450"/>
      <c r="F450"/>
      <c r="G450"/>
      <c r="H450"/>
      <c r="I450"/>
      <c r="J450"/>
      <c r="K450"/>
    </row>
    <row r="451" spans="1:11" s="26" customFormat="1">
      <c r="A451" s="25"/>
      <c r="B451"/>
      <c r="C451"/>
      <c r="D451"/>
      <c r="E451"/>
      <c r="F451"/>
      <c r="G451"/>
      <c r="H451"/>
      <c r="I451"/>
      <c r="J451"/>
      <c r="K451"/>
    </row>
    <row r="452" spans="1:11" s="26" customFormat="1">
      <c r="A452" s="25"/>
      <c r="B452"/>
      <c r="C452"/>
      <c r="D452"/>
      <c r="E452"/>
      <c r="F452"/>
      <c r="G452"/>
      <c r="H452"/>
      <c r="I452"/>
      <c r="J452"/>
      <c r="K452"/>
    </row>
    <row r="453" spans="1:11" s="26" customFormat="1">
      <c r="A453" s="25"/>
      <c r="B453"/>
      <c r="C453"/>
      <c r="D453"/>
      <c r="E453"/>
      <c r="F453"/>
      <c r="G453"/>
      <c r="H453"/>
      <c r="I453"/>
      <c r="J453"/>
      <c r="K453"/>
    </row>
    <row r="454" spans="1:11" s="26" customFormat="1">
      <c r="A454" s="25"/>
      <c r="B454"/>
      <c r="C454"/>
      <c r="D454"/>
      <c r="E454"/>
      <c r="F454"/>
      <c r="G454"/>
      <c r="H454"/>
      <c r="I454"/>
      <c r="J454"/>
      <c r="K454"/>
    </row>
    <row r="455" spans="1:11" s="26" customFormat="1">
      <c r="A455" s="25"/>
      <c r="B455"/>
      <c r="C455"/>
      <c r="D455"/>
      <c r="E455"/>
      <c r="F455"/>
      <c r="G455"/>
      <c r="H455"/>
      <c r="I455"/>
      <c r="J455"/>
      <c r="K455"/>
    </row>
    <row r="456" spans="1:11" s="26" customFormat="1">
      <c r="A456" s="25"/>
      <c r="B456"/>
      <c r="C456"/>
      <c r="D456"/>
      <c r="E456"/>
      <c r="F456"/>
      <c r="G456"/>
      <c r="H456"/>
      <c r="I456"/>
      <c r="J456"/>
      <c r="K456"/>
    </row>
    <row r="457" spans="1:11" s="26" customFormat="1">
      <c r="A457" s="25"/>
      <c r="B457"/>
      <c r="C457"/>
      <c r="D457"/>
      <c r="E457"/>
      <c r="F457"/>
      <c r="G457"/>
      <c r="H457"/>
      <c r="I457"/>
      <c r="J457"/>
      <c r="K457"/>
    </row>
    <row r="458" spans="1:11" s="26" customFormat="1">
      <c r="A458" s="25"/>
      <c r="B458"/>
      <c r="C458"/>
      <c r="D458"/>
      <c r="E458"/>
      <c r="F458"/>
      <c r="G458"/>
      <c r="H458"/>
      <c r="I458"/>
      <c r="J458"/>
      <c r="K458"/>
    </row>
    <row r="459" spans="1:11" s="26" customFormat="1">
      <c r="A459" s="25"/>
      <c r="B459"/>
      <c r="C459"/>
      <c r="D459"/>
      <c r="E459"/>
      <c r="F459"/>
      <c r="G459"/>
      <c r="H459"/>
      <c r="I459"/>
      <c r="J459"/>
      <c r="K459"/>
    </row>
    <row r="460" spans="1:11" s="26" customFormat="1">
      <c r="A460" s="25"/>
      <c r="B460"/>
      <c r="C460"/>
      <c r="D460"/>
      <c r="E460"/>
      <c r="F460"/>
      <c r="G460"/>
      <c r="H460"/>
      <c r="I460"/>
      <c r="J460"/>
      <c r="K460"/>
    </row>
    <row r="461" spans="1:11" s="26" customFormat="1">
      <c r="A461" s="25"/>
      <c r="B461"/>
      <c r="C461"/>
      <c r="D461"/>
      <c r="E461"/>
      <c r="F461"/>
      <c r="G461"/>
      <c r="H461"/>
      <c r="I461"/>
      <c r="J461"/>
      <c r="K461"/>
    </row>
    <row r="462" spans="1:11" s="26" customFormat="1">
      <c r="A462" s="25"/>
      <c r="B462"/>
      <c r="C462"/>
      <c r="D462"/>
      <c r="E462"/>
      <c r="F462"/>
      <c r="G462"/>
      <c r="H462"/>
      <c r="I462"/>
      <c r="J462"/>
      <c r="K462"/>
    </row>
    <row r="463" spans="1:11" s="26" customFormat="1">
      <c r="A463" s="25"/>
      <c r="B463"/>
      <c r="C463"/>
      <c r="D463"/>
      <c r="E463"/>
      <c r="F463"/>
      <c r="G463"/>
      <c r="H463"/>
      <c r="I463"/>
      <c r="J463"/>
      <c r="K463"/>
    </row>
    <row r="464" spans="1:11" s="26" customFormat="1">
      <c r="A464" s="25"/>
      <c r="B464"/>
      <c r="C464"/>
      <c r="D464"/>
      <c r="E464"/>
      <c r="F464"/>
      <c r="G464"/>
      <c r="H464"/>
      <c r="I464"/>
      <c r="J464"/>
      <c r="K464"/>
    </row>
    <row r="465" spans="1:11" s="26" customFormat="1">
      <c r="A465" s="25"/>
      <c r="B465"/>
      <c r="C465"/>
      <c r="D465"/>
      <c r="E465"/>
      <c r="F465"/>
      <c r="G465"/>
      <c r="H465"/>
      <c r="I465"/>
      <c r="J465"/>
      <c r="K465"/>
    </row>
    <row r="466" spans="1:11" s="26" customFormat="1">
      <c r="A466" s="25"/>
      <c r="B466"/>
      <c r="C466"/>
      <c r="D466"/>
      <c r="E466"/>
      <c r="F466"/>
      <c r="G466"/>
      <c r="H466"/>
      <c r="I466"/>
      <c r="J466"/>
      <c r="K466"/>
    </row>
    <row r="467" spans="1:11" s="26" customFormat="1">
      <c r="A467" s="25"/>
      <c r="B467"/>
      <c r="C467"/>
      <c r="D467"/>
      <c r="E467"/>
      <c r="F467"/>
      <c r="G467"/>
      <c r="H467"/>
      <c r="I467"/>
      <c r="J467"/>
      <c r="K467"/>
    </row>
    <row r="468" spans="1:11" s="26" customFormat="1">
      <c r="A468" s="25"/>
      <c r="B468"/>
      <c r="C468"/>
      <c r="D468"/>
      <c r="E468"/>
      <c r="F468"/>
      <c r="G468"/>
      <c r="H468"/>
      <c r="I468"/>
      <c r="J468"/>
      <c r="K468"/>
    </row>
    <row r="469" spans="1:11" s="26" customFormat="1">
      <c r="A469" s="25"/>
      <c r="B469"/>
      <c r="C469"/>
      <c r="D469"/>
      <c r="E469"/>
      <c r="F469"/>
      <c r="G469"/>
      <c r="H469"/>
      <c r="I469"/>
      <c r="J469"/>
      <c r="K469"/>
    </row>
    <row r="470" spans="1:11" s="26" customFormat="1">
      <c r="A470" s="25"/>
      <c r="B470"/>
      <c r="C470"/>
      <c r="D470"/>
      <c r="E470"/>
      <c r="F470"/>
      <c r="G470"/>
      <c r="H470"/>
      <c r="I470"/>
      <c r="J470"/>
      <c r="K470"/>
    </row>
    <row r="471" spans="1:11" s="26" customFormat="1">
      <c r="A471" s="25"/>
      <c r="B471"/>
      <c r="C471"/>
      <c r="D471"/>
      <c r="E471"/>
      <c r="F471"/>
      <c r="G471"/>
      <c r="H471"/>
      <c r="I471"/>
      <c r="J471"/>
      <c r="K471"/>
    </row>
    <row r="472" spans="1:11" s="26" customFormat="1">
      <c r="A472" s="25"/>
      <c r="B472"/>
      <c r="C472"/>
      <c r="D472"/>
      <c r="E472"/>
      <c r="F472"/>
      <c r="G472"/>
      <c r="H472"/>
      <c r="I472"/>
      <c r="J472"/>
      <c r="K472"/>
    </row>
    <row r="473" spans="1:11" s="26" customFormat="1">
      <c r="A473" s="25"/>
      <c r="B473"/>
      <c r="C473"/>
      <c r="D473"/>
      <c r="E473"/>
      <c r="F473"/>
      <c r="G473"/>
      <c r="H473"/>
      <c r="I473"/>
      <c r="J473"/>
      <c r="K473"/>
    </row>
    <row r="474" spans="1:11" s="26" customFormat="1">
      <c r="A474" s="25"/>
      <c r="B474"/>
      <c r="C474"/>
      <c r="D474"/>
      <c r="E474"/>
      <c r="F474"/>
      <c r="G474"/>
      <c r="H474"/>
      <c r="I474"/>
      <c r="J474"/>
      <c r="K474"/>
    </row>
    <row r="475" spans="1:11" s="26" customFormat="1">
      <c r="A475" s="25"/>
      <c r="B475"/>
      <c r="C475"/>
      <c r="D475"/>
      <c r="E475"/>
      <c r="F475"/>
      <c r="G475"/>
      <c r="H475"/>
      <c r="I475"/>
      <c r="J475"/>
      <c r="K475"/>
    </row>
    <row r="476" spans="1:11" s="26" customFormat="1">
      <c r="A476" s="25"/>
      <c r="B476"/>
      <c r="C476"/>
      <c r="D476"/>
      <c r="E476"/>
      <c r="F476"/>
      <c r="G476"/>
      <c r="H476"/>
      <c r="I476"/>
      <c r="J476"/>
      <c r="K476"/>
    </row>
    <row r="477" spans="1:11" s="26" customFormat="1">
      <c r="A477" s="25"/>
      <c r="B477"/>
      <c r="C477"/>
      <c r="D477"/>
      <c r="E477"/>
      <c r="F477"/>
      <c r="G477"/>
      <c r="H477"/>
      <c r="I477"/>
      <c r="J477"/>
      <c r="K477"/>
    </row>
    <row r="478" spans="1:11" s="26" customFormat="1">
      <c r="A478" s="25"/>
      <c r="B478"/>
      <c r="C478"/>
      <c r="D478"/>
      <c r="E478"/>
      <c r="F478"/>
      <c r="G478"/>
      <c r="H478"/>
      <c r="I478"/>
      <c r="J478"/>
      <c r="K478"/>
    </row>
    <row r="479" spans="1:11" s="26" customFormat="1">
      <c r="A479" s="25"/>
      <c r="B479"/>
      <c r="C479"/>
      <c r="D479"/>
      <c r="E479"/>
      <c r="F479"/>
      <c r="G479"/>
      <c r="H479"/>
      <c r="I479"/>
      <c r="J479"/>
      <c r="K479"/>
    </row>
    <row r="480" spans="1:11" s="26" customFormat="1">
      <c r="A480" s="25"/>
      <c r="B480"/>
      <c r="C480"/>
      <c r="D480"/>
      <c r="E480"/>
      <c r="F480"/>
      <c r="G480"/>
      <c r="H480"/>
      <c r="I480"/>
      <c r="J480"/>
      <c r="K480"/>
    </row>
    <row r="481" spans="1:11" s="26" customFormat="1">
      <c r="A481" s="25"/>
      <c r="B481"/>
      <c r="C481"/>
      <c r="D481"/>
      <c r="E481"/>
      <c r="F481"/>
      <c r="G481"/>
      <c r="H481"/>
      <c r="I481"/>
      <c r="J481"/>
      <c r="K481"/>
    </row>
    <row r="482" spans="1:11" s="26" customFormat="1">
      <c r="A482" s="25"/>
      <c r="B482"/>
      <c r="C482"/>
      <c r="D482"/>
      <c r="E482"/>
      <c r="F482"/>
      <c r="G482"/>
      <c r="H482"/>
      <c r="I482"/>
      <c r="J482"/>
      <c r="K482"/>
    </row>
    <row r="483" spans="1:11" s="26" customFormat="1">
      <c r="A483" s="25"/>
      <c r="B483"/>
      <c r="C483"/>
      <c r="D483"/>
      <c r="E483"/>
      <c r="F483"/>
      <c r="G483"/>
      <c r="H483"/>
      <c r="I483"/>
      <c r="J483"/>
      <c r="K483"/>
    </row>
    <row r="484" spans="1:11" s="26" customFormat="1">
      <c r="A484" s="25"/>
      <c r="B484"/>
      <c r="C484"/>
      <c r="D484"/>
      <c r="E484"/>
      <c r="F484"/>
      <c r="G484"/>
      <c r="H484"/>
      <c r="I484"/>
      <c r="J484"/>
      <c r="K484"/>
    </row>
    <row r="485" spans="1:11" s="26" customFormat="1">
      <c r="A485" s="25"/>
      <c r="B485"/>
      <c r="C485"/>
      <c r="D485"/>
      <c r="E485"/>
      <c r="F485"/>
      <c r="G485"/>
      <c r="H485"/>
      <c r="I485"/>
      <c r="J485"/>
      <c r="K485"/>
    </row>
    <row r="486" spans="1:11" s="26" customFormat="1">
      <c r="A486" s="25"/>
      <c r="B486"/>
      <c r="C486"/>
      <c r="D486"/>
      <c r="E486"/>
      <c r="F486"/>
      <c r="G486"/>
      <c r="H486"/>
      <c r="I486"/>
      <c r="J486"/>
      <c r="K486"/>
    </row>
    <row r="487" spans="1:11" s="26" customFormat="1">
      <c r="A487" s="25"/>
      <c r="B487"/>
      <c r="C487"/>
      <c r="D487"/>
      <c r="E487"/>
      <c r="F487"/>
      <c r="G487"/>
      <c r="H487"/>
      <c r="I487"/>
      <c r="J487"/>
      <c r="K487"/>
    </row>
    <row r="488" spans="1:11" s="26" customFormat="1">
      <c r="A488" s="25"/>
      <c r="B488"/>
      <c r="C488"/>
      <c r="D488"/>
      <c r="E488"/>
      <c r="F488"/>
      <c r="G488"/>
      <c r="H488"/>
      <c r="I488"/>
      <c r="J488"/>
      <c r="K488"/>
    </row>
    <row r="489" spans="1:11" s="26" customFormat="1">
      <c r="A489" s="25"/>
      <c r="B489"/>
      <c r="C489"/>
      <c r="D489"/>
      <c r="E489"/>
      <c r="F489"/>
      <c r="G489"/>
      <c r="H489"/>
      <c r="I489"/>
      <c r="J489"/>
      <c r="K489"/>
    </row>
    <row r="490" spans="1:11" s="26" customFormat="1">
      <c r="A490" s="25"/>
      <c r="B490"/>
      <c r="C490"/>
      <c r="D490"/>
      <c r="E490"/>
      <c r="F490"/>
      <c r="G490"/>
      <c r="H490"/>
      <c r="I490"/>
      <c r="J490"/>
      <c r="K490"/>
    </row>
    <row r="491" spans="1:11" s="26" customFormat="1">
      <c r="A491" s="25"/>
      <c r="B491"/>
      <c r="C491"/>
      <c r="D491"/>
      <c r="E491"/>
      <c r="F491"/>
      <c r="G491"/>
      <c r="H491"/>
      <c r="I491"/>
      <c r="J491"/>
      <c r="K491"/>
    </row>
    <row r="492" spans="1:11" s="26" customFormat="1">
      <c r="A492" s="25"/>
      <c r="B492"/>
      <c r="C492"/>
      <c r="D492"/>
      <c r="E492"/>
      <c r="F492"/>
      <c r="G492"/>
      <c r="H492"/>
      <c r="I492"/>
      <c r="J492"/>
      <c r="K492"/>
    </row>
    <row r="493" spans="1:11" s="26" customFormat="1">
      <c r="A493" s="25"/>
      <c r="B493"/>
      <c r="C493"/>
      <c r="D493"/>
      <c r="E493"/>
      <c r="F493"/>
      <c r="G493"/>
      <c r="H493"/>
      <c r="I493"/>
      <c r="J493"/>
      <c r="K493"/>
    </row>
    <row r="494" spans="1:11" s="26" customFormat="1">
      <c r="A494" s="25"/>
      <c r="B494"/>
      <c r="C494"/>
      <c r="D494"/>
      <c r="E494"/>
      <c r="F494"/>
      <c r="G494"/>
      <c r="H494"/>
      <c r="I494"/>
      <c r="J494"/>
      <c r="K494"/>
    </row>
    <row r="495" spans="1:11" s="26" customFormat="1">
      <c r="A495" s="25"/>
      <c r="B495"/>
      <c r="C495"/>
      <c r="D495"/>
      <c r="E495"/>
      <c r="F495"/>
      <c r="G495"/>
      <c r="H495"/>
      <c r="I495"/>
      <c r="J495"/>
      <c r="K495"/>
    </row>
    <row r="496" spans="1:11" s="26" customFormat="1">
      <c r="A496" s="25"/>
      <c r="B496"/>
      <c r="C496"/>
      <c r="D496"/>
      <c r="E496"/>
      <c r="F496"/>
      <c r="G496"/>
      <c r="H496"/>
      <c r="I496"/>
      <c r="J496"/>
      <c r="K496"/>
    </row>
    <row r="497" spans="1:11" s="26" customFormat="1">
      <c r="A497" s="25"/>
      <c r="B497"/>
      <c r="C497"/>
      <c r="D497"/>
      <c r="E497"/>
      <c r="F497"/>
      <c r="G497"/>
      <c r="H497"/>
      <c r="I497"/>
      <c r="J497"/>
      <c r="K497"/>
    </row>
    <row r="498" spans="1:11" s="26" customFormat="1">
      <c r="A498" s="25"/>
      <c r="B498"/>
      <c r="C498"/>
      <c r="D498"/>
      <c r="E498"/>
      <c r="F498"/>
      <c r="G498"/>
      <c r="H498"/>
      <c r="I498"/>
      <c r="J498"/>
      <c r="K498"/>
    </row>
    <row r="499" spans="1:11" s="26" customFormat="1">
      <c r="A499" s="25"/>
      <c r="B499"/>
      <c r="C499"/>
      <c r="D499"/>
      <c r="E499"/>
      <c r="F499"/>
      <c r="G499"/>
      <c r="H499"/>
      <c r="I499"/>
      <c r="J499"/>
      <c r="K499"/>
    </row>
    <row r="500" spans="1:11" s="26" customFormat="1">
      <c r="A500" s="25"/>
      <c r="B500"/>
      <c r="C500"/>
      <c r="D500"/>
      <c r="E500"/>
      <c r="F500"/>
      <c r="G500"/>
      <c r="H500"/>
      <c r="I500"/>
      <c r="J500"/>
      <c r="K500"/>
    </row>
    <row r="501" spans="1:11" s="26" customFormat="1">
      <c r="A501" s="25"/>
      <c r="B501"/>
      <c r="C501"/>
      <c r="D501"/>
      <c r="E501"/>
      <c r="F501"/>
      <c r="G501"/>
      <c r="H501"/>
      <c r="I501"/>
      <c r="J501"/>
      <c r="K501"/>
    </row>
    <row r="502" spans="1:11" s="26" customFormat="1">
      <c r="A502" s="25"/>
      <c r="B502"/>
      <c r="C502"/>
      <c r="D502"/>
      <c r="E502"/>
      <c r="F502"/>
      <c r="G502"/>
      <c r="H502"/>
      <c r="I502"/>
      <c r="J502"/>
      <c r="K502"/>
    </row>
    <row r="503" spans="1:11" s="26" customFormat="1">
      <c r="A503" s="25"/>
      <c r="B503"/>
      <c r="C503"/>
      <c r="D503"/>
      <c r="E503"/>
      <c r="F503"/>
      <c r="G503"/>
      <c r="H503"/>
      <c r="I503"/>
      <c r="J503"/>
      <c r="K503"/>
    </row>
    <row r="504" spans="1:11" s="26" customFormat="1">
      <c r="A504" s="25"/>
      <c r="B504"/>
      <c r="C504"/>
      <c r="D504"/>
      <c r="E504"/>
      <c r="F504"/>
      <c r="G504"/>
      <c r="H504"/>
      <c r="I504"/>
      <c r="J504"/>
      <c r="K504"/>
    </row>
    <row r="505" spans="1:11" s="26" customFormat="1">
      <c r="A505" s="25"/>
      <c r="B505"/>
      <c r="C505"/>
      <c r="D505"/>
      <c r="E505"/>
      <c r="F505"/>
      <c r="G505"/>
      <c r="H505"/>
      <c r="I505"/>
      <c r="J505"/>
      <c r="K505"/>
    </row>
    <row r="506" spans="1:11" s="26" customFormat="1">
      <c r="A506" s="25"/>
      <c r="B506"/>
      <c r="C506"/>
      <c r="D506"/>
      <c r="E506"/>
      <c r="F506"/>
      <c r="G506"/>
      <c r="H506"/>
      <c r="I506"/>
      <c r="J506"/>
      <c r="K506"/>
    </row>
    <row r="507" spans="1:11" s="26" customFormat="1">
      <c r="A507" s="25"/>
      <c r="B507"/>
      <c r="C507"/>
      <c r="D507"/>
      <c r="E507"/>
      <c r="F507"/>
      <c r="G507"/>
      <c r="H507"/>
      <c r="I507"/>
      <c r="J507"/>
      <c r="K507"/>
    </row>
    <row r="508" spans="1:11" s="26" customFormat="1">
      <c r="A508" s="25"/>
      <c r="B508"/>
      <c r="C508"/>
      <c r="D508"/>
      <c r="E508"/>
      <c r="F508"/>
      <c r="G508"/>
      <c r="H508"/>
      <c r="I508"/>
      <c r="J508"/>
      <c r="K508"/>
    </row>
    <row r="509" spans="1:11" s="26" customFormat="1">
      <c r="A509" s="25"/>
      <c r="B509"/>
      <c r="C509"/>
      <c r="D509"/>
      <c r="E509"/>
      <c r="F509"/>
      <c r="G509"/>
      <c r="H509"/>
      <c r="I509"/>
      <c r="J509"/>
      <c r="K509"/>
    </row>
    <row r="510" spans="1:11" s="26" customFormat="1">
      <c r="A510" s="25"/>
      <c r="B510"/>
      <c r="C510"/>
      <c r="D510"/>
      <c r="E510"/>
      <c r="F510"/>
      <c r="G510"/>
      <c r="H510"/>
      <c r="I510"/>
      <c r="J510"/>
      <c r="K510"/>
    </row>
    <row r="511" spans="1:11" s="26" customFormat="1">
      <c r="A511" s="25"/>
      <c r="B511"/>
      <c r="C511"/>
      <c r="D511"/>
      <c r="E511"/>
      <c r="F511"/>
      <c r="G511"/>
      <c r="H511"/>
      <c r="I511"/>
      <c r="J511"/>
      <c r="K511"/>
    </row>
    <row r="512" spans="1:11" s="26" customFormat="1">
      <c r="A512" s="25"/>
      <c r="B512"/>
      <c r="C512"/>
      <c r="D512"/>
      <c r="E512"/>
      <c r="F512"/>
      <c r="G512"/>
      <c r="H512"/>
      <c r="I512"/>
      <c r="J512"/>
      <c r="K512"/>
    </row>
    <row r="513" spans="1:11" s="26" customFormat="1">
      <c r="A513" s="25"/>
      <c r="B513"/>
      <c r="C513"/>
      <c r="D513"/>
      <c r="E513"/>
      <c r="F513"/>
      <c r="G513"/>
      <c r="H513"/>
      <c r="I513"/>
      <c r="J513"/>
      <c r="K513"/>
    </row>
    <row r="514" spans="1:11" s="26" customFormat="1">
      <c r="A514" s="25"/>
      <c r="B514"/>
      <c r="C514"/>
      <c r="D514"/>
      <c r="E514"/>
      <c r="F514"/>
      <c r="G514"/>
      <c r="H514"/>
      <c r="I514"/>
      <c r="J514"/>
      <c r="K514"/>
    </row>
    <row r="515" spans="1:11" s="26" customFormat="1">
      <c r="A515" s="25"/>
      <c r="B515"/>
      <c r="C515"/>
      <c r="D515"/>
      <c r="E515"/>
      <c r="F515"/>
      <c r="G515"/>
      <c r="H515"/>
      <c r="I515"/>
      <c r="J515"/>
      <c r="K515"/>
    </row>
    <row r="516" spans="1:11" s="26" customFormat="1">
      <c r="A516" s="25"/>
      <c r="B516"/>
      <c r="C516"/>
      <c r="D516"/>
      <c r="E516"/>
      <c r="F516"/>
      <c r="G516"/>
      <c r="H516"/>
      <c r="I516"/>
      <c r="J516"/>
      <c r="K516"/>
    </row>
    <row r="517" spans="1:11" s="26" customFormat="1">
      <c r="A517" s="25"/>
      <c r="B517"/>
      <c r="C517"/>
      <c r="D517"/>
      <c r="E517"/>
      <c r="F517"/>
      <c r="G517"/>
      <c r="H517"/>
      <c r="I517"/>
      <c r="J517"/>
      <c r="K517"/>
    </row>
    <row r="518" spans="1:11" s="26" customFormat="1">
      <c r="A518" s="25"/>
      <c r="B518"/>
      <c r="C518"/>
      <c r="D518"/>
      <c r="E518"/>
      <c r="F518"/>
      <c r="G518"/>
      <c r="H518"/>
      <c r="I518"/>
      <c r="J518"/>
      <c r="K518"/>
    </row>
    <row r="519" spans="1:11" s="26" customFormat="1">
      <c r="A519" s="25"/>
      <c r="B519"/>
      <c r="C519"/>
      <c r="D519"/>
      <c r="E519"/>
      <c r="F519"/>
      <c r="G519"/>
      <c r="H519"/>
      <c r="I519"/>
      <c r="J519"/>
      <c r="K519"/>
    </row>
    <row r="520" spans="1:11" s="26" customFormat="1">
      <c r="A520" s="25"/>
      <c r="B520"/>
      <c r="C520"/>
      <c r="D520"/>
      <c r="E520"/>
      <c r="F520"/>
      <c r="G520"/>
      <c r="H520"/>
      <c r="I520"/>
      <c r="J520"/>
      <c r="K520"/>
    </row>
    <row r="521" spans="1:11" s="26" customFormat="1">
      <c r="A521" s="25"/>
      <c r="B521"/>
      <c r="C521"/>
      <c r="D521"/>
      <c r="E521"/>
      <c r="F521"/>
      <c r="G521"/>
      <c r="H521"/>
      <c r="I521"/>
      <c r="J521"/>
      <c r="K521"/>
    </row>
    <row r="522" spans="1:11" s="26" customFormat="1">
      <c r="A522" s="25"/>
      <c r="B522"/>
      <c r="C522"/>
      <c r="D522"/>
      <c r="E522"/>
      <c r="F522"/>
      <c r="G522"/>
      <c r="H522"/>
      <c r="I522"/>
      <c r="J522"/>
      <c r="K522"/>
    </row>
    <row r="523" spans="1:11" s="26" customFormat="1">
      <c r="A523" s="25"/>
      <c r="B523"/>
      <c r="C523"/>
      <c r="D523"/>
      <c r="E523"/>
      <c r="F523"/>
      <c r="G523"/>
      <c r="H523"/>
      <c r="I523"/>
      <c r="J523"/>
      <c r="K523"/>
    </row>
    <row r="524" spans="1:11" s="26" customFormat="1">
      <c r="A524" s="25"/>
      <c r="B524"/>
      <c r="C524"/>
      <c r="D524"/>
      <c r="E524"/>
      <c r="F524"/>
      <c r="G524"/>
      <c r="H524"/>
      <c r="I524"/>
      <c r="J524"/>
      <c r="K524"/>
    </row>
    <row r="525" spans="1:11" s="26" customFormat="1">
      <c r="A525" s="25"/>
      <c r="B525"/>
      <c r="C525"/>
      <c r="D525"/>
      <c r="E525"/>
      <c r="F525"/>
      <c r="G525"/>
      <c r="H525"/>
      <c r="I525"/>
      <c r="J525"/>
      <c r="K525"/>
    </row>
    <row r="526" spans="1:11" s="26" customFormat="1">
      <c r="A526" s="25"/>
      <c r="B526"/>
      <c r="C526"/>
      <c r="D526"/>
      <c r="E526"/>
      <c r="F526"/>
      <c r="G526"/>
      <c r="H526"/>
      <c r="I526"/>
      <c r="J526"/>
      <c r="K526"/>
    </row>
    <row r="527" spans="1:11" s="26" customFormat="1">
      <c r="A527" s="25"/>
      <c r="B527"/>
      <c r="C527"/>
      <c r="D527"/>
      <c r="E527"/>
      <c r="F527"/>
      <c r="G527"/>
      <c r="H527"/>
      <c r="I527"/>
      <c r="J527"/>
      <c r="K527"/>
    </row>
    <row r="528" spans="1:11" s="26" customFormat="1">
      <c r="A528" s="25"/>
      <c r="B528"/>
      <c r="C528"/>
      <c r="D528"/>
      <c r="E528"/>
      <c r="F528"/>
      <c r="G528"/>
      <c r="H528"/>
      <c r="I528"/>
      <c r="J528"/>
      <c r="K528"/>
    </row>
    <row r="529" spans="1:11" s="26" customFormat="1">
      <c r="A529" s="25"/>
      <c r="B529"/>
      <c r="C529"/>
      <c r="D529"/>
      <c r="E529"/>
      <c r="F529"/>
      <c r="G529"/>
      <c r="H529"/>
      <c r="I529"/>
      <c r="J529"/>
      <c r="K529"/>
    </row>
    <row r="530" spans="1:11" s="26" customFormat="1">
      <c r="A530" s="25"/>
      <c r="B530"/>
      <c r="C530"/>
      <c r="D530"/>
      <c r="E530"/>
      <c r="F530"/>
      <c r="G530"/>
      <c r="H530"/>
      <c r="I530"/>
      <c r="J530"/>
      <c r="K530"/>
    </row>
    <row r="531" spans="1:11" s="26" customFormat="1">
      <c r="A531" s="25"/>
      <c r="B531"/>
      <c r="C531"/>
      <c r="D531"/>
      <c r="E531"/>
      <c r="F531"/>
      <c r="G531"/>
      <c r="H531"/>
      <c r="I531"/>
      <c r="J531"/>
      <c r="K531"/>
    </row>
    <row r="532" spans="1:11" s="26" customFormat="1">
      <c r="A532" s="25"/>
      <c r="B532"/>
      <c r="C532"/>
      <c r="D532"/>
      <c r="E532"/>
      <c r="F532"/>
      <c r="G532"/>
      <c r="H532"/>
      <c r="I532"/>
      <c r="J532"/>
      <c r="K532"/>
    </row>
    <row r="533" spans="1:11" s="26" customFormat="1">
      <c r="A533" s="25"/>
      <c r="B533"/>
      <c r="C533"/>
      <c r="D533"/>
      <c r="E533"/>
      <c r="F533"/>
      <c r="G533"/>
      <c r="H533"/>
      <c r="I533"/>
      <c r="J533"/>
      <c r="K533"/>
    </row>
    <row r="534" spans="1:11" s="26" customFormat="1">
      <c r="A534" s="25"/>
      <c r="B534"/>
      <c r="C534"/>
      <c r="D534"/>
      <c r="E534"/>
      <c r="F534"/>
      <c r="G534"/>
      <c r="H534"/>
      <c r="I534"/>
      <c r="J534"/>
      <c r="K534"/>
    </row>
    <row r="535" spans="1:11" s="26" customFormat="1">
      <c r="A535" s="25"/>
      <c r="B535"/>
      <c r="C535"/>
      <c r="D535"/>
      <c r="E535"/>
      <c r="F535"/>
      <c r="G535"/>
      <c r="H535"/>
      <c r="I535"/>
      <c r="J535"/>
      <c r="K535"/>
    </row>
    <row r="536" spans="1:11" s="26" customFormat="1">
      <c r="A536" s="25"/>
      <c r="B536"/>
      <c r="C536"/>
      <c r="D536"/>
      <c r="E536"/>
      <c r="F536"/>
      <c r="G536"/>
      <c r="H536"/>
      <c r="I536"/>
      <c r="J536"/>
      <c r="K536"/>
    </row>
    <row r="537" spans="1:11" s="26" customFormat="1">
      <c r="A537" s="25"/>
      <c r="B537"/>
      <c r="C537"/>
      <c r="D537"/>
      <c r="E537"/>
      <c r="F537"/>
      <c r="G537"/>
      <c r="H537"/>
      <c r="I537"/>
      <c r="J537"/>
      <c r="K537"/>
    </row>
    <row r="538" spans="1:11" s="26" customFormat="1">
      <c r="A538" s="25"/>
      <c r="B538"/>
      <c r="C538"/>
      <c r="D538"/>
      <c r="E538"/>
      <c r="F538"/>
      <c r="G538"/>
      <c r="H538"/>
      <c r="I538"/>
      <c r="J538"/>
      <c r="K538"/>
    </row>
    <row r="539" spans="1:11" s="26" customFormat="1">
      <c r="A539" s="25"/>
      <c r="B539"/>
      <c r="C539"/>
      <c r="D539"/>
      <c r="E539"/>
      <c r="F539"/>
      <c r="G539"/>
      <c r="H539"/>
      <c r="I539"/>
      <c r="J539"/>
      <c r="K539"/>
    </row>
    <row r="540" spans="1:11" s="26" customFormat="1">
      <c r="A540" s="25"/>
      <c r="B540"/>
      <c r="C540"/>
      <c r="D540"/>
      <c r="E540"/>
      <c r="F540"/>
      <c r="G540"/>
      <c r="H540"/>
      <c r="I540"/>
      <c r="J540"/>
      <c r="K540"/>
    </row>
    <row r="541" spans="1:11" s="26" customFormat="1">
      <c r="A541" s="25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21">
      <c r="A545"/>
      <c r="B545"/>
      <c r="C545"/>
      <c r="D545"/>
      <c r="E545"/>
      <c r="F545"/>
      <c r="G545"/>
      <c r="H545"/>
      <c r="I545"/>
      <c r="J545"/>
      <c r="K545"/>
    </row>
    <row r="546" spans="1:21">
      <c r="A546"/>
      <c r="B546"/>
      <c r="C546"/>
      <c r="D546"/>
      <c r="E546"/>
      <c r="F546"/>
      <c r="G546"/>
      <c r="H546"/>
      <c r="I546"/>
      <c r="J546"/>
      <c r="K546"/>
    </row>
    <row r="547" spans="1:21">
      <c r="A547"/>
      <c r="B547"/>
      <c r="C547"/>
      <c r="D547"/>
      <c r="E547"/>
      <c r="F547"/>
      <c r="G547"/>
      <c r="H547"/>
      <c r="I547"/>
      <c r="J547"/>
      <c r="K547"/>
    </row>
    <row r="548" spans="1:2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21" s="4" customForma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2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2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2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21">
      <c r="A553"/>
      <c r="B553"/>
      <c r="C553"/>
      <c r="D553"/>
      <c r="E553"/>
      <c r="F553"/>
      <c r="G553"/>
      <c r="H553"/>
      <c r="I553"/>
      <c r="J553"/>
      <c r="K553"/>
      <c r="L553"/>
      <c r="S553" s="21"/>
      <c r="T553" s="21"/>
      <c r="U553" s="22"/>
    </row>
    <row r="554" spans="1:21">
      <c r="A554"/>
      <c r="B554"/>
      <c r="C554"/>
      <c r="D554"/>
      <c r="E554"/>
      <c r="F554"/>
      <c r="G554"/>
      <c r="H554"/>
      <c r="I554"/>
      <c r="J554"/>
      <c r="K554"/>
      <c r="L554"/>
      <c r="S554" s="23"/>
      <c r="T554" s="21"/>
      <c r="U554" s="22"/>
    </row>
    <row r="555" spans="1:2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2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2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2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21">
      <c r="A559"/>
      <c r="B559"/>
      <c r="C559"/>
      <c r="D559"/>
      <c r="E559"/>
      <c r="F559"/>
      <c r="G559"/>
      <c r="H559"/>
      <c r="I559"/>
      <c r="J559"/>
      <c r="K559"/>
      <c r="L559"/>
      <c r="M559" s="17"/>
      <c r="N559" s="17"/>
    </row>
    <row r="560" spans="1:2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s="4" customForma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s="4" customForma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s="4" customForma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s="4" customForma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s="4" customForma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s="4" customForma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s="4" customForma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s="4" customForma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21" s="6" customForma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2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2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21" s="4" customForma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21" s="6" customForma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21" s="4" customForma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21" s="4" customForma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21" s="4" customForma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21" s="4" customForma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21" s="4" customForma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21" s="4" customForma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21" s="4" customForma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21">
      <c r="A589"/>
      <c r="B589"/>
      <c r="C589"/>
      <c r="D589"/>
      <c r="E589"/>
      <c r="F589"/>
      <c r="G589"/>
      <c r="H589"/>
      <c r="I589"/>
      <c r="J589"/>
      <c r="K589"/>
      <c r="L589"/>
      <c r="M589" s="4"/>
      <c r="N589" s="4"/>
      <c r="O589" s="4"/>
      <c r="P589" s="4"/>
      <c r="Q589" s="4"/>
      <c r="R589" s="4"/>
      <c r="S589" s="4"/>
      <c r="T589" s="4"/>
      <c r="U589" s="4"/>
    </row>
    <row r="590" spans="1:21">
      <c r="A590"/>
      <c r="B590"/>
      <c r="C590"/>
      <c r="D590"/>
      <c r="E590"/>
      <c r="F590"/>
      <c r="G590"/>
      <c r="H590"/>
      <c r="I590"/>
      <c r="J590"/>
      <c r="K590"/>
      <c r="L590"/>
      <c r="M590" s="4"/>
      <c r="N590" s="4"/>
      <c r="O590" s="4"/>
      <c r="P590" s="4"/>
      <c r="Q590" s="4"/>
      <c r="R590" s="4"/>
      <c r="S590" s="4"/>
      <c r="T590" s="4"/>
      <c r="U590" s="4"/>
    </row>
    <row r="591" spans="1:21">
      <c r="A591"/>
      <c r="B591"/>
      <c r="C591"/>
      <c r="D591"/>
      <c r="E591"/>
      <c r="F591"/>
      <c r="G591"/>
      <c r="H591"/>
      <c r="I591"/>
      <c r="J591"/>
      <c r="K591"/>
      <c r="L591"/>
      <c r="M591" s="4"/>
      <c r="N591" s="4"/>
      <c r="O591" s="4"/>
      <c r="P591" s="4"/>
      <c r="Q591" s="4"/>
      <c r="R591" s="4"/>
      <c r="S591" s="4"/>
      <c r="T591" s="4"/>
      <c r="U591" s="4"/>
    </row>
    <row r="592" spans="1:21">
      <c r="A592"/>
      <c r="B592"/>
      <c r="C592"/>
      <c r="D592"/>
      <c r="E592"/>
      <c r="F592"/>
      <c r="G592"/>
      <c r="H592"/>
      <c r="I592"/>
      <c r="J592"/>
      <c r="K592"/>
      <c r="L592"/>
      <c r="M592" s="4"/>
      <c r="N592" s="4"/>
      <c r="O592" s="4"/>
      <c r="P592" s="4"/>
      <c r="Q592" s="4"/>
      <c r="R592" s="4"/>
      <c r="S592" s="4"/>
      <c r="T592" s="4"/>
      <c r="U592" s="4"/>
    </row>
    <row r="593" spans="1:21" s="4" customForma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21" s="4" customForma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21" s="4" customForma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21" s="4" customForma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21" s="4" customForma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21" s="4" customForma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21" s="4" customForma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21" s="4" customForma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21" s="4" customForma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21" s="4" customForma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21">
      <c r="A603"/>
      <c r="B603"/>
      <c r="C603"/>
      <c r="D603"/>
      <c r="E603"/>
      <c r="F603"/>
      <c r="G603"/>
      <c r="H603"/>
      <c r="I603"/>
      <c r="J603"/>
      <c r="K603"/>
      <c r="L603"/>
      <c r="M603" s="4"/>
      <c r="N603" s="4"/>
      <c r="O603" s="4"/>
      <c r="P603" s="4"/>
      <c r="Q603" s="4"/>
      <c r="R603" s="4"/>
      <c r="S603" s="4"/>
      <c r="T603" s="4"/>
      <c r="U603" s="4"/>
    </row>
    <row r="604" spans="1:21">
      <c r="A604"/>
      <c r="B604"/>
      <c r="C604"/>
      <c r="D604"/>
      <c r="E604"/>
      <c r="F604"/>
      <c r="G604"/>
      <c r="H604"/>
      <c r="I604"/>
      <c r="J604"/>
      <c r="K604"/>
      <c r="L604"/>
      <c r="M604" s="4"/>
      <c r="N604" s="4"/>
      <c r="O604" s="4"/>
      <c r="P604" s="4"/>
      <c r="Q604" s="4"/>
      <c r="R604" s="4"/>
      <c r="S604" s="4"/>
      <c r="T604" s="4"/>
      <c r="U604" s="4"/>
    </row>
    <row r="605" spans="1:21">
      <c r="A605"/>
      <c r="B605"/>
      <c r="C605"/>
      <c r="D605"/>
      <c r="E605"/>
      <c r="F605"/>
      <c r="G605"/>
      <c r="H605"/>
      <c r="I605"/>
      <c r="J605"/>
      <c r="K605"/>
      <c r="L605"/>
      <c r="M605" s="4"/>
      <c r="N605" s="4"/>
      <c r="O605" s="4"/>
      <c r="P605" s="4"/>
      <c r="Q605" s="4"/>
      <c r="R605" s="4"/>
      <c r="S605" s="4"/>
      <c r="T605" s="4"/>
      <c r="U605" s="4"/>
    </row>
    <row r="606" spans="1:21">
      <c r="A606"/>
      <c r="B606"/>
      <c r="C606"/>
      <c r="D606"/>
      <c r="E606"/>
      <c r="F606"/>
      <c r="G606"/>
      <c r="H606"/>
      <c r="I606"/>
      <c r="J606"/>
      <c r="K606"/>
      <c r="L606"/>
      <c r="M606" s="4"/>
      <c r="N606" s="4"/>
      <c r="O606" s="4"/>
      <c r="P606" s="4"/>
      <c r="Q606" s="4"/>
      <c r="R606" s="4"/>
      <c r="S606" s="4"/>
      <c r="T606" s="4"/>
      <c r="U606" s="4"/>
    </row>
    <row r="607" spans="1:21" s="4" customForma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21" s="4" customForma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21">
      <c r="A609"/>
      <c r="B609"/>
      <c r="C609"/>
      <c r="D609"/>
      <c r="E609"/>
      <c r="F609"/>
      <c r="G609"/>
      <c r="H609"/>
      <c r="I609"/>
      <c r="J609"/>
      <c r="K609"/>
      <c r="L609"/>
      <c r="M609" s="4"/>
      <c r="N609" s="4"/>
      <c r="O609" s="4"/>
      <c r="P609" s="4"/>
      <c r="Q609" s="4"/>
      <c r="R609" s="4"/>
      <c r="S609" s="4"/>
      <c r="T609" s="4"/>
      <c r="U609" s="4"/>
    </row>
    <row r="610" spans="1:21">
      <c r="A610"/>
      <c r="B610"/>
      <c r="C610"/>
      <c r="D610"/>
      <c r="E610"/>
      <c r="F610"/>
      <c r="G610"/>
      <c r="H610"/>
      <c r="I610"/>
      <c r="J610"/>
      <c r="K610"/>
      <c r="L610"/>
      <c r="M610" s="4"/>
      <c r="N610" s="4"/>
      <c r="O610" s="4"/>
      <c r="P610" s="4"/>
      <c r="Q610" s="4"/>
      <c r="R610" s="4"/>
      <c r="S610" s="4"/>
      <c r="T610" s="4"/>
      <c r="U610" s="4"/>
    </row>
    <row r="611" spans="1:21">
      <c r="A611"/>
      <c r="B611"/>
      <c r="C611"/>
      <c r="D611"/>
      <c r="E611"/>
      <c r="F611"/>
      <c r="G611"/>
      <c r="H611"/>
      <c r="I611"/>
      <c r="J611"/>
      <c r="K611"/>
      <c r="L611"/>
      <c r="M611" s="4"/>
      <c r="N611" s="4"/>
      <c r="O611" s="4"/>
      <c r="P611" s="4"/>
      <c r="Q611" s="4"/>
      <c r="R611" s="4"/>
      <c r="S611" s="4"/>
      <c r="T611" s="4"/>
      <c r="U611" s="4"/>
    </row>
    <row r="612" spans="1:21">
      <c r="A612"/>
      <c r="B612"/>
      <c r="C612"/>
      <c r="D612"/>
      <c r="E612"/>
      <c r="F612"/>
      <c r="G612"/>
      <c r="H612"/>
      <c r="I612"/>
      <c r="J612"/>
      <c r="K612"/>
      <c r="L612"/>
      <c r="M612" s="4"/>
      <c r="N612" s="4"/>
      <c r="O612" s="4"/>
      <c r="P612" s="4"/>
      <c r="Q612" s="4"/>
      <c r="R612" s="4"/>
      <c r="S612" s="4"/>
      <c r="T612" s="4"/>
      <c r="U612" s="4"/>
    </row>
    <row r="613" spans="1:21" s="2" customFormat="1">
      <c r="A613"/>
      <c r="B613"/>
      <c r="C613"/>
      <c r="D613"/>
      <c r="E613"/>
      <c r="F613"/>
      <c r="G613"/>
      <c r="H613"/>
      <c r="I613"/>
      <c r="J613"/>
      <c r="K613"/>
      <c r="L613"/>
      <c r="M613" s="4"/>
      <c r="N613" s="4"/>
      <c r="O613" s="4"/>
      <c r="P613" s="4"/>
      <c r="Q613" s="4"/>
      <c r="R613" s="4"/>
      <c r="S613" s="4"/>
      <c r="T613" s="4"/>
      <c r="U613" s="4"/>
    </row>
    <row r="614" spans="1:21">
      <c r="A614"/>
      <c r="B614"/>
      <c r="C614"/>
      <c r="D614"/>
      <c r="E614"/>
      <c r="F614"/>
      <c r="G614"/>
      <c r="H614"/>
      <c r="I614"/>
      <c r="J614"/>
      <c r="K614"/>
      <c r="L614"/>
      <c r="M614" s="4"/>
      <c r="N614" s="4"/>
      <c r="O614" s="4"/>
      <c r="P614" s="4"/>
      <c r="Q614" s="4"/>
      <c r="R614" s="4"/>
      <c r="S614" s="4"/>
      <c r="T614" s="4"/>
      <c r="U614" s="4"/>
    </row>
    <row r="615" spans="1:21">
      <c r="A615"/>
      <c r="B615"/>
      <c r="C615"/>
      <c r="D615"/>
      <c r="E615"/>
      <c r="F615"/>
      <c r="G615"/>
      <c r="H615"/>
      <c r="I615"/>
      <c r="J615"/>
      <c r="K615"/>
      <c r="L615"/>
      <c r="M615" s="4"/>
      <c r="N615" s="4"/>
      <c r="O615" s="4"/>
      <c r="P615" s="4"/>
      <c r="Q615" s="4"/>
      <c r="R615" s="4"/>
      <c r="S615" s="4"/>
      <c r="T615" s="4"/>
      <c r="U615" s="4"/>
    </row>
    <row r="616" spans="1:21">
      <c r="A616"/>
      <c r="B616"/>
      <c r="C616"/>
      <c r="D616"/>
      <c r="E616"/>
      <c r="F616"/>
      <c r="G616"/>
      <c r="H616"/>
      <c r="I616"/>
      <c r="J616"/>
      <c r="K616"/>
      <c r="L616"/>
      <c r="M616" s="4"/>
      <c r="N616" s="4"/>
      <c r="O616" s="4"/>
      <c r="P616" s="4"/>
      <c r="Q616" s="4"/>
      <c r="R616" s="4"/>
      <c r="S616" s="4"/>
      <c r="T616" s="4"/>
      <c r="U616" s="4"/>
    </row>
    <row r="617" spans="1:21">
      <c r="A617"/>
      <c r="B617"/>
      <c r="C617"/>
      <c r="D617"/>
      <c r="E617"/>
      <c r="F617"/>
      <c r="G617"/>
      <c r="H617"/>
      <c r="I617"/>
      <c r="J617"/>
      <c r="K617"/>
      <c r="L617"/>
      <c r="M617" s="4"/>
      <c r="N617" s="4"/>
      <c r="O617" s="4"/>
      <c r="P617" s="4"/>
      <c r="Q617" s="4"/>
      <c r="R617" s="4"/>
      <c r="S617" s="4"/>
      <c r="T617" s="4"/>
      <c r="U617" s="4"/>
    </row>
    <row r="618" spans="1:21">
      <c r="A618"/>
      <c r="B618"/>
      <c r="C618"/>
      <c r="D618"/>
      <c r="E618"/>
      <c r="F618"/>
      <c r="G618"/>
      <c r="H618"/>
      <c r="I618"/>
      <c r="J618"/>
      <c r="K618"/>
      <c r="L618"/>
      <c r="M618" s="4"/>
      <c r="N618" s="4"/>
      <c r="O618" s="4"/>
      <c r="P618" s="4"/>
      <c r="Q618" s="4"/>
      <c r="R618" s="4"/>
      <c r="S618" s="4"/>
      <c r="T618" s="4"/>
      <c r="U618" s="4"/>
    </row>
    <row r="619" spans="1:21">
      <c r="A619"/>
      <c r="B619"/>
      <c r="C619"/>
      <c r="D619"/>
      <c r="E619"/>
      <c r="F619"/>
      <c r="G619"/>
      <c r="H619"/>
      <c r="I619"/>
      <c r="J619"/>
      <c r="K619"/>
      <c r="L619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5" customHeight="1">
      <c r="A620"/>
      <c r="B620"/>
      <c r="C620"/>
      <c r="D620"/>
      <c r="E620"/>
      <c r="F620"/>
      <c r="G620"/>
      <c r="H620"/>
      <c r="I620"/>
      <c r="J620"/>
      <c r="K620"/>
      <c r="L620"/>
      <c r="M620" s="5"/>
      <c r="N620" s="5"/>
      <c r="O620" s="5"/>
      <c r="P620" s="5"/>
      <c r="Q620" s="5"/>
      <c r="R620" s="5"/>
      <c r="S620" s="5"/>
      <c r="T620" s="4"/>
      <c r="U620" s="4"/>
    </row>
    <row r="621" spans="1:21" s="18" customFormat="1">
      <c r="A621"/>
      <c r="B621"/>
      <c r="C621"/>
      <c r="D621"/>
      <c r="E621"/>
      <c r="F621"/>
      <c r="G621"/>
      <c r="H621"/>
      <c r="I621"/>
      <c r="J621"/>
      <c r="K621"/>
      <c r="L621"/>
      <c r="M621" s="17"/>
      <c r="N621" s="17"/>
      <c r="O621" s="17"/>
      <c r="P621" s="17"/>
      <c r="Q621" s="17"/>
      <c r="R621" s="17"/>
      <c r="S621" s="17"/>
    </row>
    <row r="622" spans="1:21">
      <c r="A622"/>
      <c r="B622"/>
      <c r="C622"/>
      <c r="D622"/>
      <c r="E622"/>
      <c r="F622"/>
      <c r="G622"/>
      <c r="H622"/>
      <c r="I622"/>
      <c r="J622"/>
      <c r="K622"/>
      <c r="L622"/>
      <c r="M622" s="5"/>
      <c r="N622" s="5"/>
      <c r="O622" s="5"/>
      <c r="P622" s="5"/>
      <c r="Q622" s="5"/>
      <c r="R622" s="5"/>
      <c r="S622" s="5"/>
      <c r="T622" s="4"/>
      <c r="U622" s="4"/>
    </row>
    <row r="623" spans="1:21">
      <c r="A623"/>
      <c r="B623"/>
      <c r="C623"/>
      <c r="D623"/>
      <c r="E623"/>
      <c r="F623"/>
      <c r="G623"/>
      <c r="H623"/>
      <c r="I623"/>
      <c r="J623"/>
      <c r="K623"/>
      <c r="L623"/>
      <c r="M623" s="5"/>
      <c r="N623" s="5"/>
      <c r="O623" s="5"/>
      <c r="P623" s="5"/>
      <c r="Q623" s="5"/>
      <c r="R623" s="5"/>
      <c r="S623" s="5"/>
      <c r="T623" s="4"/>
      <c r="U623" s="4"/>
    </row>
    <row r="624" spans="1:21">
      <c r="A624"/>
      <c r="B624"/>
      <c r="C624"/>
      <c r="D624"/>
      <c r="E624"/>
      <c r="F624"/>
      <c r="G624"/>
      <c r="H624"/>
      <c r="I624"/>
      <c r="J624"/>
      <c r="K624"/>
      <c r="L624"/>
      <c r="M624" s="5"/>
      <c r="N624" s="5"/>
      <c r="O624" s="5"/>
      <c r="P624" s="5"/>
      <c r="Q624" s="5"/>
      <c r="R624" s="5"/>
      <c r="S624" s="5"/>
    </row>
    <row r="625" spans="1:19">
      <c r="A625"/>
      <c r="B625"/>
      <c r="C625"/>
      <c r="D625"/>
      <c r="E625"/>
      <c r="F625"/>
      <c r="G625"/>
      <c r="H625"/>
      <c r="I625"/>
      <c r="J625"/>
      <c r="K625"/>
      <c r="L625"/>
      <c r="M625" s="5"/>
      <c r="N625" s="5"/>
      <c r="O625" s="5"/>
      <c r="P625" s="5"/>
      <c r="Q625" s="5"/>
      <c r="R625" s="5"/>
      <c r="S625" s="5"/>
    </row>
    <row r="626" spans="1:19">
      <c r="A626"/>
      <c r="B626"/>
      <c r="C626"/>
      <c r="D626"/>
      <c r="E626"/>
      <c r="F626"/>
      <c r="G626"/>
      <c r="H626"/>
      <c r="I626"/>
      <c r="J626"/>
      <c r="K626"/>
      <c r="L626"/>
      <c r="M626" s="5"/>
      <c r="N626" s="5"/>
      <c r="O626" s="5"/>
      <c r="P626" s="5"/>
      <c r="Q626" s="5"/>
      <c r="R626" s="5"/>
      <c r="S626" s="5"/>
    </row>
    <row r="627" spans="1:19">
      <c r="A627"/>
      <c r="B627"/>
      <c r="C627"/>
      <c r="D627"/>
      <c r="E627"/>
      <c r="F627"/>
      <c r="G627"/>
      <c r="H627"/>
      <c r="I627"/>
      <c r="J627"/>
      <c r="K627"/>
      <c r="L627"/>
      <c r="M627" s="5"/>
      <c r="N627" s="5"/>
      <c r="O627" s="5"/>
      <c r="P627" s="5"/>
      <c r="Q627" s="5"/>
      <c r="R627" s="5"/>
      <c r="S627" s="5"/>
    </row>
    <row r="628" spans="1:19">
      <c r="A628"/>
      <c r="B628"/>
      <c r="C628"/>
      <c r="D628"/>
      <c r="E628"/>
      <c r="F628"/>
      <c r="G628"/>
      <c r="H628"/>
      <c r="I628"/>
      <c r="J628"/>
      <c r="K628"/>
      <c r="L628"/>
      <c r="M628" s="5"/>
      <c r="N628" s="5"/>
      <c r="O628" s="5"/>
      <c r="P628" s="5"/>
      <c r="Q628" s="5"/>
      <c r="R628" s="5"/>
      <c r="S628" s="5"/>
    </row>
    <row r="629" spans="1:19">
      <c r="A629"/>
      <c r="B629"/>
      <c r="C629"/>
      <c r="D629"/>
      <c r="E629"/>
      <c r="F629"/>
      <c r="G629"/>
      <c r="H629"/>
      <c r="I629"/>
      <c r="J629"/>
      <c r="K629"/>
      <c r="L629"/>
      <c r="M629" s="6"/>
      <c r="N629" s="6"/>
      <c r="O629" s="6"/>
      <c r="P629" s="6"/>
      <c r="Q629" s="5"/>
      <c r="R629" s="5"/>
      <c r="S629" s="5"/>
    </row>
    <row r="630" spans="1:19">
      <c r="A630"/>
      <c r="B630"/>
      <c r="C630"/>
      <c r="D630"/>
      <c r="E630"/>
      <c r="F630"/>
      <c r="G630"/>
      <c r="H630"/>
      <c r="I630"/>
      <c r="J630"/>
      <c r="K630"/>
      <c r="L630"/>
      <c r="M630" s="6"/>
      <c r="N630" s="6"/>
      <c r="O630" s="6"/>
      <c r="P630" s="6"/>
      <c r="Q630" s="5"/>
      <c r="R630" s="5"/>
      <c r="S630" s="5"/>
    </row>
    <row r="631" spans="1:19">
      <c r="A631"/>
      <c r="B631"/>
      <c r="C631"/>
      <c r="D631"/>
      <c r="E631"/>
      <c r="F631"/>
      <c r="G631"/>
      <c r="H631"/>
      <c r="I631"/>
      <c r="J631"/>
      <c r="K631"/>
      <c r="L631"/>
      <c r="M631" s="6"/>
      <c r="N631" s="6"/>
      <c r="O631" s="6"/>
      <c r="P631" s="6"/>
      <c r="Q631" s="5"/>
      <c r="R631" s="5"/>
      <c r="S631" s="5"/>
    </row>
    <row r="632" spans="1:19">
      <c r="A632"/>
      <c r="B632"/>
      <c r="C632"/>
      <c r="D632"/>
      <c r="E632"/>
      <c r="F632"/>
      <c r="G632"/>
      <c r="H632"/>
      <c r="I632"/>
      <c r="J632"/>
      <c r="K632"/>
      <c r="L632"/>
      <c r="M632" s="6"/>
      <c r="N632" s="6"/>
      <c r="O632" s="6"/>
      <c r="P632" s="6"/>
      <c r="Q632" s="5"/>
      <c r="R632" s="5"/>
      <c r="S632" s="5"/>
    </row>
    <row r="633" spans="1:19">
      <c r="A633"/>
      <c r="B633"/>
      <c r="C633"/>
      <c r="D633"/>
      <c r="E633"/>
      <c r="F633"/>
      <c r="G633"/>
      <c r="H633"/>
      <c r="I633"/>
      <c r="J633"/>
      <c r="K633"/>
      <c r="L633"/>
      <c r="M633" s="6"/>
      <c r="N633" s="6"/>
      <c r="O633" s="6"/>
      <c r="P633" s="6"/>
      <c r="Q633" s="4"/>
      <c r="R633" s="4"/>
      <c r="S633" s="4"/>
    </row>
    <row r="634" spans="1:19">
      <c r="A634"/>
      <c r="B634"/>
      <c r="C634"/>
      <c r="D634"/>
      <c r="E634"/>
      <c r="F634"/>
      <c r="G634"/>
      <c r="H634"/>
      <c r="I634"/>
      <c r="J634"/>
      <c r="K634"/>
      <c r="L634"/>
      <c r="M634" s="6"/>
      <c r="N634" s="6"/>
      <c r="O634" s="6"/>
      <c r="P634" s="6"/>
      <c r="Q634" s="4"/>
      <c r="R634" s="4"/>
      <c r="S634" s="4"/>
    </row>
    <row r="635" spans="1:19">
      <c r="A635"/>
      <c r="B635"/>
      <c r="C635"/>
      <c r="D635"/>
      <c r="E635"/>
      <c r="F635"/>
      <c r="G635"/>
      <c r="H635"/>
      <c r="I635"/>
      <c r="J635"/>
      <c r="K635"/>
      <c r="L635"/>
      <c r="M635" s="6"/>
      <c r="N635" s="6"/>
      <c r="O635" s="6"/>
      <c r="P635" s="6"/>
      <c r="Q635" s="4"/>
      <c r="R635" s="4"/>
      <c r="S635" s="4"/>
    </row>
    <row r="636" spans="1:19">
      <c r="A636"/>
      <c r="B636"/>
      <c r="C636"/>
      <c r="D636"/>
      <c r="E636"/>
      <c r="F636"/>
      <c r="G636"/>
      <c r="H636"/>
      <c r="I636"/>
      <c r="J636"/>
      <c r="K636"/>
      <c r="L636"/>
      <c r="M636" s="6"/>
      <c r="N636" s="6"/>
      <c r="O636" s="6"/>
      <c r="P636" s="6"/>
      <c r="Q636" s="4"/>
      <c r="R636" s="4"/>
      <c r="S636" s="4"/>
    </row>
    <row r="637" spans="1:19">
      <c r="A637"/>
      <c r="B637"/>
      <c r="C637"/>
      <c r="D637"/>
      <c r="E637"/>
      <c r="F637"/>
      <c r="G637"/>
      <c r="H637"/>
      <c r="I637"/>
      <c r="J637"/>
      <c r="K637"/>
      <c r="L637"/>
      <c r="M637" s="6"/>
      <c r="N637" s="6"/>
      <c r="O637" s="6"/>
      <c r="P637" s="6"/>
      <c r="Q637" s="4"/>
      <c r="R637" s="4"/>
      <c r="S637" s="4"/>
    </row>
    <row r="638" spans="1:19">
      <c r="A638"/>
      <c r="B638"/>
      <c r="C638"/>
      <c r="D638"/>
      <c r="E638"/>
      <c r="F638"/>
      <c r="G638"/>
      <c r="H638"/>
      <c r="I638"/>
      <c r="J638"/>
      <c r="K638"/>
      <c r="L638"/>
      <c r="M638" s="6"/>
      <c r="N638" s="6"/>
      <c r="O638" s="6"/>
      <c r="P638" s="6"/>
      <c r="Q638" s="4"/>
      <c r="R638" s="4"/>
      <c r="S638" s="4"/>
    </row>
    <row r="639" spans="1:19">
      <c r="A639"/>
      <c r="B639"/>
      <c r="C639"/>
      <c r="D639"/>
      <c r="E639"/>
      <c r="F639"/>
      <c r="G639"/>
      <c r="H639"/>
      <c r="I639"/>
      <c r="J639"/>
      <c r="K639"/>
      <c r="L639"/>
      <c r="M639" s="6"/>
      <c r="N639" s="6"/>
      <c r="O639" s="6"/>
      <c r="P639" s="6"/>
      <c r="Q639" s="4"/>
      <c r="R639" s="4"/>
      <c r="S639" s="4"/>
    </row>
    <row r="640" spans="1:19">
      <c r="A640"/>
      <c r="B640"/>
      <c r="C640"/>
      <c r="D640"/>
      <c r="E640"/>
      <c r="F640"/>
      <c r="G640"/>
      <c r="H640"/>
      <c r="I640"/>
      <c r="J640"/>
      <c r="K640"/>
      <c r="L640"/>
      <c r="M640" s="6"/>
      <c r="N640" s="6"/>
      <c r="O640" s="6"/>
      <c r="P640" s="6"/>
      <c r="Q640" s="4"/>
      <c r="R640" s="4"/>
      <c r="S640" s="4"/>
    </row>
    <row r="641" spans="1:19">
      <c r="A641"/>
      <c r="B641"/>
      <c r="C641"/>
      <c r="D641"/>
      <c r="E641"/>
      <c r="F641"/>
      <c r="G641"/>
      <c r="H641"/>
      <c r="I641"/>
      <c r="J641"/>
      <c r="K641"/>
      <c r="L641"/>
      <c r="M641" s="6"/>
      <c r="N641" s="6"/>
      <c r="O641" s="6"/>
      <c r="P641" s="6"/>
      <c r="Q641" s="4"/>
      <c r="R641" s="4"/>
      <c r="S641" s="4"/>
    </row>
    <row r="642" spans="1:19">
      <c r="A642"/>
      <c r="B642"/>
      <c r="C642"/>
      <c r="D642"/>
      <c r="E642"/>
      <c r="F642"/>
      <c r="G642"/>
      <c r="H642"/>
      <c r="I642"/>
      <c r="J642"/>
      <c r="K642"/>
      <c r="L642"/>
      <c r="M642" s="6"/>
      <c r="N642" s="6"/>
      <c r="O642" s="6"/>
      <c r="P642" s="6"/>
      <c r="Q642" s="4"/>
      <c r="R642" s="4"/>
      <c r="S642" s="4"/>
    </row>
    <row r="643" spans="1:19">
      <c r="A643"/>
      <c r="B643"/>
      <c r="C643"/>
      <c r="D643"/>
      <c r="E643"/>
      <c r="F643"/>
      <c r="G643"/>
      <c r="H643"/>
      <c r="I643"/>
      <c r="J643"/>
      <c r="K643"/>
      <c r="L643"/>
      <c r="M643" s="6"/>
      <c r="N643" s="6"/>
      <c r="O643" s="6"/>
      <c r="P643" s="6"/>
      <c r="Q643" s="4"/>
      <c r="R643" s="4"/>
      <c r="S643" s="4"/>
    </row>
    <row r="644" spans="1:19">
      <c r="A644"/>
      <c r="B644"/>
      <c r="C644"/>
      <c r="D644"/>
      <c r="E644"/>
      <c r="F644"/>
      <c r="G644"/>
      <c r="H644"/>
      <c r="I644"/>
      <c r="J644"/>
      <c r="K644"/>
      <c r="L644"/>
      <c r="M644" s="6"/>
      <c r="N644" s="6"/>
      <c r="O644" s="6"/>
      <c r="P644" s="6"/>
      <c r="Q644" s="4"/>
      <c r="R644" s="4"/>
      <c r="S644" s="4"/>
    </row>
    <row r="645" spans="1:19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9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9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9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9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9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9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9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9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9">
      <c r="A654"/>
      <c r="B654"/>
      <c r="C654"/>
      <c r="D654"/>
      <c r="E654"/>
      <c r="F654"/>
      <c r="G654"/>
      <c r="H654"/>
      <c r="I654"/>
      <c r="J654"/>
      <c r="K654"/>
    </row>
    <row r="655" spans="1:19">
      <c r="A655"/>
      <c r="B655"/>
      <c r="C655"/>
      <c r="D655"/>
      <c r="E655"/>
      <c r="F655"/>
      <c r="G655"/>
      <c r="H655"/>
      <c r="I655"/>
      <c r="J655"/>
      <c r="K655"/>
    </row>
    <row r="656" spans="1:19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B767"/>
      <c r="C767"/>
      <c r="D767"/>
      <c r="E767"/>
      <c r="F767"/>
      <c r="G767"/>
      <c r="H767"/>
      <c r="I767"/>
      <c r="J767"/>
      <c r="K767"/>
    </row>
    <row r="768" spans="1:11">
      <c r="B768"/>
      <c r="C768"/>
      <c r="D768"/>
      <c r="E768"/>
      <c r="F768"/>
      <c r="G768"/>
      <c r="H768"/>
      <c r="I768"/>
      <c r="J768"/>
      <c r="K768"/>
    </row>
    <row r="769" spans="2:11">
      <c r="B769"/>
      <c r="C769"/>
      <c r="D769"/>
      <c r="E769"/>
      <c r="F769"/>
      <c r="G769"/>
      <c r="H769"/>
      <c r="I769"/>
      <c r="J769"/>
      <c r="K769"/>
    </row>
    <row r="770" spans="2:11">
      <c r="B770"/>
      <c r="C770"/>
      <c r="D770"/>
      <c r="E770"/>
      <c r="F770"/>
      <c r="G770"/>
      <c r="H770"/>
      <c r="I770"/>
      <c r="J770"/>
      <c r="K770"/>
    </row>
    <row r="771" spans="2:11">
      <c r="B771"/>
      <c r="C771"/>
      <c r="D771"/>
      <c r="E771"/>
      <c r="F771"/>
      <c r="G771"/>
      <c r="H771"/>
      <c r="I771"/>
      <c r="J771"/>
      <c r="K771"/>
    </row>
    <row r="772" spans="2:11">
      <c r="B772"/>
      <c r="C772"/>
      <c r="D772"/>
      <c r="E772"/>
      <c r="F772"/>
      <c r="G772"/>
      <c r="H772"/>
      <c r="I772"/>
      <c r="J772"/>
      <c r="K772"/>
    </row>
    <row r="773" spans="2:11">
      <c r="B773"/>
      <c r="C773"/>
      <c r="D773"/>
      <c r="E773"/>
      <c r="F773"/>
      <c r="G773"/>
      <c r="H773"/>
      <c r="I773"/>
      <c r="J773"/>
      <c r="K773"/>
    </row>
    <row r="774" spans="2:11">
      <c r="B774"/>
      <c r="C774"/>
      <c r="D774"/>
      <c r="E774"/>
      <c r="F774"/>
      <c r="G774"/>
      <c r="H774"/>
      <c r="I774"/>
      <c r="J774"/>
      <c r="K774"/>
    </row>
    <row r="775" spans="2:11">
      <c r="B775"/>
      <c r="C775"/>
      <c r="D775"/>
      <c r="E775"/>
      <c r="F775"/>
      <c r="G775"/>
      <c r="H775"/>
      <c r="I775"/>
      <c r="J775"/>
      <c r="K775"/>
    </row>
    <row r="776" spans="2:11">
      <c r="B776"/>
      <c r="C776"/>
      <c r="D776"/>
      <c r="E776"/>
      <c r="F776"/>
      <c r="G776"/>
      <c r="H776"/>
      <c r="I776"/>
      <c r="J776"/>
      <c r="K776"/>
    </row>
    <row r="777" spans="2:11">
      <c r="B777"/>
      <c r="C777"/>
      <c r="D777"/>
      <c r="E777"/>
      <c r="F777"/>
      <c r="G777"/>
      <c r="H777"/>
      <c r="I777"/>
      <c r="J777"/>
      <c r="K777"/>
    </row>
    <row r="778" spans="2:11">
      <c r="B778"/>
      <c r="C778"/>
      <c r="D778"/>
      <c r="E778"/>
      <c r="F778"/>
      <c r="G778"/>
      <c r="H778"/>
      <c r="I778"/>
      <c r="J778"/>
      <c r="K778"/>
    </row>
    <row r="779" spans="2:11">
      <c r="B779"/>
      <c r="C779"/>
      <c r="D779"/>
      <c r="E779"/>
      <c r="F779"/>
      <c r="G779"/>
      <c r="H779"/>
      <c r="I779"/>
      <c r="J779"/>
      <c r="K779"/>
    </row>
    <row r="780" spans="2:11">
      <c r="B780"/>
      <c r="C780"/>
      <c r="D780"/>
      <c r="E780"/>
      <c r="F780"/>
      <c r="G780"/>
      <c r="H780"/>
      <c r="I780"/>
      <c r="J780"/>
      <c r="K780"/>
    </row>
    <row r="781" spans="2:11">
      <c r="B781"/>
      <c r="C781"/>
      <c r="D781"/>
      <c r="E781"/>
      <c r="F781"/>
      <c r="G781"/>
      <c r="H781"/>
      <c r="I781"/>
      <c r="J781"/>
      <c r="K781"/>
    </row>
    <row r="782" spans="2:11">
      <c r="B782"/>
      <c r="C782"/>
      <c r="D782"/>
      <c r="E782"/>
      <c r="F782"/>
      <c r="G782"/>
      <c r="H782"/>
      <c r="I782"/>
      <c r="J782"/>
      <c r="K782"/>
    </row>
    <row r="783" spans="2:11">
      <c r="B783"/>
      <c r="C783"/>
      <c r="D783"/>
      <c r="E783"/>
      <c r="F783"/>
      <c r="G783"/>
      <c r="H783"/>
      <c r="I783"/>
      <c r="J783"/>
      <c r="K783"/>
    </row>
    <row r="784" spans="2:11">
      <c r="B784"/>
      <c r="C784"/>
      <c r="D784"/>
      <c r="E784"/>
      <c r="F784"/>
      <c r="G784"/>
      <c r="H784"/>
      <c r="I784"/>
      <c r="J784"/>
      <c r="K784"/>
    </row>
    <row r="785" spans="2:11">
      <c r="B785"/>
      <c r="C785"/>
      <c r="D785"/>
      <c r="E785"/>
      <c r="F785"/>
      <c r="G785"/>
      <c r="H785"/>
      <c r="I785"/>
      <c r="J785"/>
      <c r="K785"/>
    </row>
    <row r="786" spans="2:11">
      <c r="B786"/>
      <c r="C786"/>
      <c r="D786"/>
      <c r="E786"/>
      <c r="F786"/>
      <c r="G786"/>
      <c r="H786"/>
      <c r="I786"/>
      <c r="J786"/>
      <c r="K786"/>
    </row>
    <row r="787" spans="2:11">
      <c r="B787"/>
      <c r="C787"/>
      <c r="D787"/>
      <c r="E787"/>
      <c r="F787"/>
      <c r="G787"/>
      <c r="H787"/>
      <c r="I787"/>
      <c r="J787"/>
      <c r="K787"/>
    </row>
    <row r="788" spans="2:11">
      <c r="B788"/>
      <c r="C788"/>
      <c r="D788"/>
      <c r="E788"/>
      <c r="F788"/>
      <c r="G788"/>
      <c r="H788"/>
      <c r="I788"/>
      <c r="J788"/>
      <c r="K788"/>
    </row>
    <row r="789" spans="2:11">
      <c r="B789"/>
      <c r="C789"/>
      <c r="D789"/>
      <c r="E789"/>
      <c r="F789"/>
      <c r="G789"/>
      <c r="H789"/>
      <c r="I789"/>
      <c r="J789"/>
      <c r="K789"/>
    </row>
    <row r="790" spans="2:11">
      <c r="B790"/>
      <c r="C790"/>
      <c r="D790"/>
      <c r="E790"/>
      <c r="F790"/>
      <c r="G790"/>
      <c r="H790"/>
      <c r="I790"/>
      <c r="J790"/>
      <c r="K790"/>
    </row>
    <row r="791" spans="2:11">
      <c r="B791"/>
      <c r="C791"/>
      <c r="D791"/>
      <c r="E791"/>
      <c r="F791"/>
      <c r="G791"/>
      <c r="H791"/>
      <c r="I791"/>
      <c r="J791"/>
      <c r="K791"/>
    </row>
    <row r="792" spans="2:11">
      <c r="B792"/>
      <c r="C792"/>
      <c r="D792"/>
      <c r="E792"/>
      <c r="F792"/>
      <c r="G792"/>
      <c r="H792"/>
      <c r="I792"/>
      <c r="J792"/>
      <c r="K792"/>
    </row>
    <row r="793" spans="2:11">
      <c r="B793"/>
      <c r="C793"/>
      <c r="D793"/>
      <c r="E793"/>
      <c r="F793"/>
      <c r="G793"/>
      <c r="H793"/>
      <c r="I793"/>
      <c r="J793"/>
      <c r="K793"/>
    </row>
    <row r="794" spans="2:11">
      <c r="B794"/>
      <c r="C794"/>
      <c r="D794"/>
      <c r="E794"/>
      <c r="F794"/>
      <c r="G794"/>
      <c r="H794"/>
      <c r="I794"/>
      <c r="J794"/>
      <c r="K794"/>
    </row>
    <row r="795" spans="2:11">
      <c r="B795"/>
      <c r="C795"/>
      <c r="D795"/>
      <c r="E795"/>
      <c r="F795"/>
      <c r="G795"/>
      <c r="H795"/>
      <c r="I795"/>
      <c r="J795"/>
      <c r="K795"/>
    </row>
    <row r="796" spans="2:11">
      <c r="B796"/>
      <c r="C796"/>
      <c r="D796"/>
      <c r="E796"/>
      <c r="F796"/>
      <c r="G796"/>
      <c r="H796"/>
      <c r="I796"/>
      <c r="J796"/>
      <c r="K796"/>
    </row>
    <row r="797" spans="2:11">
      <c r="B797"/>
      <c r="C797"/>
      <c r="D797"/>
      <c r="E797"/>
      <c r="F797"/>
      <c r="G797"/>
      <c r="H797"/>
      <c r="I797"/>
      <c r="J797"/>
      <c r="K797"/>
    </row>
    <row r="798" spans="2:11">
      <c r="B798"/>
      <c r="C798"/>
      <c r="D798"/>
      <c r="E798"/>
      <c r="F798"/>
      <c r="G798"/>
      <c r="H798"/>
      <c r="I798"/>
      <c r="J798"/>
      <c r="K798"/>
    </row>
    <row r="799" spans="2:11">
      <c r="B799"/>
      <c r="C799"/>
      <c r="D799"/>
      <c r="E799"/>
      <c r="F799"/>
      <c r="G799"/>
      <c r="H799"/>
      <c r="I799"/>
      <c r="J799"/>
      <c r="K799"/>
    </row>
    <row r="800" spans="2:11">
      <c r="B800"/>
      <c r="C800"/>
      <c r="D800"/>
      <c r="E800"/>
      <c r="F800"/>
      <c r="G800"/>
      <c r="H800"/>
      <c r="I800"/>
      <c r="J800"/>
      <c r="K800"/>
    </row>
    <row r="801" spans="2:11">
      <c r="B801"/>
      <c r="C801"/>
      <c r="D801"/>
      <c r="E801"/>
      <c r="F801"/>
      <c r="G801"/>
      <c r="H801"/>
      <c r="I801"/>
      <c r="J801"/>
      <c r="K801"/>
    </row>
    <row r="802" spans="2:11">
      <c r="B802"/>
      <c r="C802"/>
      <c r="D802"/>
      <c r="E802"/>
      <c r="F802"/>
      <c r="G802"/>
      <c r="H802"/>
      <c r="I802"/>
      <c r="J802"/>
      <c r="K802"/>
    </row>
    <row r="803" spans="2:11">
      <c r="B803"/>
      <c r="C803"/>
      <c r="D803"/>
      <c r="E803"/>
      <c r="F803"/>
      <c r="G803"/>
      <c r="H803"/>
      <c r="I803"/>
      <c r="J803"/>
      <c r="K803"/>
    </row>
    <row r="804" spans="2:11">
      <c r="B804"/>
      <c r="C804"/>
      <c r="D804"/>
      <c r="E804"/>
      <c r="F804"/>
      <c r="G804"/>
      <c r="H804"/>
      <c r="I804"/>
      <c r="J804"/>
      <c r="K804"/>
    </row>
    <row r="805" spans="2:11">
      <c r="B805"/>
      <c r="C805"/>
      <c r="D805"/>
      <c r="E805"/>
      <c r="F805"/>
      <c r="G805"/>
      <c r="H805"/>
      <c r="I805"/>
      <c r="J805"/>
      <c r="K805"/>
    </row>
    <row r="806" spans="2:11">
      <c r="B806"/>
      <c r="C806"/>
      <c r="D806"/>
      <c r="E806"/>
      <c r="F806"/>
      <c r="G806"/>
      <c r="H806"/>
      <c r="I806"/>
      <c r="J806"/>
      <c r="K806"/>
    </row>
    <row r="807" spans="2:11">
      <c r="B807"/>
      <c r="C807"/>
      <c r="D807"/>
      <c r="E807"/>
      <c r="F807"/>
      <c r="G807"/>
      <c r="H807"/>
      <c r="I807"/>
      <c r="J807"/>
      <c r="K807"/>
    </row>
    <row r="808" spans="2:11">
      <c r="B808"/>
      <c r="C808"/>
      <c r="D808"/>
      <c r="E808"/>
      <c r="F808"/>
      <c r="G808"/>
      <c r="H808"/>
      <c r="I808"/>
      <c r="J808"/>
      <c r="K808"/>
    </row>
    <row r="809" spans="2:11">
      <c r="B809"/>
      <c r="C809"/>
      <c r="D809"/>
      <c r="E809"/>
      <c r="F809"/>
      <c r="G809"/>
      <c r="H809"/>
      <c r="I809"/>
      <c r="J809"/>
      <c r="K809"/>
    </row>
    <row r="810" spans="2:11">
      <c r="B810"/>
      <c r="C810"/>
      <c r="D810"/>
      <c r="E810"/>
      <c r="F810"/>
      <c r="G810"/>
      <c r="H810"/>
      <c r="I810"/>
      <c r="J810"/>
      <c r="K810"/>
    </row>
    <row r="811" spans="2:11">
      <c r="B811"/>
      <c r="C811"/>
      <c r="D811"/>
      <c r="E811"/>
      <c r="F811"/>
      <c r="G811"/>
      <c r="H811"/>
      <c r="I811"/>
      <c r="J811"/>
      <c r="K811"/>
    </row>
    <row r="812" spans="2:11">
      <c r="B812"/>
      <c r="C812"/>
      <c r="D812"/>
      <c r="E812"/>
      <c r="F812"/>
      <c r="G812"/>
      <c r="H812"/>
      <c r="I812"/>
      <c r="J812"/>
      <c r="K812"/>
    </row>
    <row r="813" spans="2:11">
      <c r="B813"/>
      <c r="C813"/>
      <c r="D813"/>
      <c r="E813"/>
      <c r="F813"/>
      <c r="G813"/>
      <c r="H813"/>
      <c r="I813"/>
      <c r="J813"/>
      <c r="K813"/>
    </row>
    <row r="814" spans="2:11">
      <c r="B814"/>
      <c r="C814"/>
      <c r="D814"/>
      <c r="E814"/>
      <c r="F814"/>
      <c r="G814"/>
      <c r="H814"/>
      <c r="I814"/>
      <c r="J814"/>
      <c r="K814"/>
    </row>
    <row r="815" spans="2:11">
      <c r="B815"/>
      <c r="C815"/>
      <c r="D815"/>
      <c r="E815"/>
      <c r="F815"/>
      <c r="G815"/>
      <c r="H815"/>
      <c r="I815"/>
      <c r="J815"/>
      <c r="K815"/>
    </row>
    <row r="816" spans="2:11">
      <c r="B816"/>
      <c r="C816"/>
      <c r="D816"/>
      <c r="E816"/>
      <c r="F816"/>
      <c r="G816"/>
      <c r="H816"/>
      <c r="I816"/>
      <c r="J816"/>
      <c r="K816"/>
    </row>
    <row r="817" spans="2:11">
      <c r="B817"/>
      <c r="C817"/>
      <c r="D817"/>
      <c r="E817"/>
      <c r="F817"/>
      <c r="G817"/>
      <c r="H817"/>
      <c r="I817"/>
      <c r="J817"/>
      <c r="K817"/>
    </row>
    <row r="818" spans="2:11">
      <c r="B818"/>
      <c r="C818"/>
      <c r="D818"/>
      <c r="E818"/>
      <c r="F818"/>
      <c r="G818"/>
      <c r="H818"/>
      <c r="I818"/>
      <c r="J818"/>
      <c r="K818"/>
    </row>
    <row r="819" spans="2:11">
      <c r="B819"/>
      <c r="C819"/>
      <c r="D819"/>
      <c r="E819"/>
      <c r="F819"/>
      <c r="G819"/>
      <c r="H819"/>
      <c r="I819"/>
      <c r="J819"/>
      <c r="K819"/>
    </row>
    <row r="820" spans="2:11">
      <c r="B820"/>
      <c r="C820"/>
      <c r="D820"/>
      <c r="E820"/>
      <c r="F820"/>
      <c r="G820"/>
      <c r="H820"/>
      <c r="I820"/>
      <c r="J820"/>
      <c r="K820"/>
    </row>
    <row r="821" spans="2:11">
      <c r="B821"/>
      <c r="C821"/>
      <c r="D821"/>
      <c r="E821"/>
      <c r="F821"/>
      <c r="G821"/>
      <c r="H821"/>
      <c r="I821"/>
      <c r="J821"/>
      <c r="K821"/>
    </row>
    <row r="822" spans="2:11">
      <c r="B822"/>
      <c r="C822"/>
      <c r="D822"/>
      <c r="E822"/>
      <c r="F822"/>
      <c r="G822"/>
      <c r="H822"/>
      <c r="I822"/>
      <c r="J822"/>
      <c r="K822"/>
    </row>
    <row r="823" spans="2:11">
      <c r="B823"/>
      <c r="C823"/>
      <c r="D823"/>
      <c r="E823"/>
      <c r="F823"/>
      <c r="G823"/>
      <c r="H823"/>
      <c r="I823"/>
      <c r="J823"/>
      <c r="K823"/>
    </row>
    <row r="824" spans="2:11">
      <c r="B824"/>
      <c r="C824"/>
      <c r="D824"/>
      <c r="E824"/>
      <c r="F824"/>
      <c r="G824"/>
      <c r="H824"/>
      <c r="I824"/>
      <c r="J824"/>
      <c r="K824"/>
    </row>
    <row r="825" spans="2:11">
      <c r="B825"/>
      <c r="C825"/>
      <c r="D825"/>
      <c r="E825"/>
      <c r="F825"/>
      <c r="G825"/>
      <c r="H825"/>
      <c r="I825"/>
      <c r="J825"/>
      <c r="K825"/>
    </row>
    <row r="826" spans="2:11">
      <c r="B826"/>
      <c r="C826"/>
      <c r="D826"/>
      <c r="E826"/>
      <c r="F826"/>
      <c r="G826"/>
      <c r="H826"/>
      <c r="I826"/>
      <c r="J826"/>
      <c r="K826"/>
    </row>
    <row r="827" spans="2:11">
      <c r="B827"/>
      <c r="C827"/>
      <c r="D827"/>
      <c r="E827"/>
      <c r="F827"/>
      <c r="G827"/>
      <c r="H827"/>
      <c r="I827"/>
      <c r="J827"/>
      <c r="K827"/>
    </row>
    <row r="828" spans="2:11">
      <c r="B828"/>
      <c r="C828"/>
      <c r="D828"/>
      <c r="E828"/>
      <c r="F828"/>
      <c r="G828"/>
      <c r="H828"/>
      <c r="I828"/>
      <c r="J828"/>
      <c r="K828"/>
    </row>
    <row r="829" spans="2:11">
      <c r="B829"/>
      <c r="C829"/>
      <c r="D829"/>
      <c r="E829"/>
      <c r="F829"/>
      <c r="G829"/>
      <c r="H829"/>
      <c r="I829"/>
      <c r="J829"/>
      <c r="K829"/>
    </row>
    <row r="830" spans="2:11">
      <c r="B830"/>
      <c r="C830"/>
      <c r="D830"/>
      <c r="E830"/>
      <c r="F830"/>
      <c r="G830"/>
      <c r="H830"/>
      <c r="I830"/>
      <c r="J830"/>
      <c r="K830"/>
    </row>
    <row r="831" spans="2:11">
      <c r="B831"/>
      <c r="C831"/>
      <c r="D831"/>
      <c r="E831"/>
      <c r="F831"/>
      <c r="G831"/>
      <c r="H831"/>
      <c r="I831"/>
      <c r="J831"/>
      <c r="K831"/>
    </row>
    <row r="832" spans="2:11">
      <c r="B832"/>
      <c r="C832"/>
      <c r="D832"/>
      <c r="E832"/>
      <c r="F832"/>
      <c r="G832"/>
      <c r="H832"/>
      <c r="I832"/>
      <c r="J832"/>
      <c r="K832"/>
    </row>
    <row r="833" spans="2:11">
      <c r="B833"/>
      <c r="C833"/>
      <c r="D833"/>
      <c r="E833"/>
      <c r="F833"/>
      <c r="G833"/>
      <c r="H833"/>
      <c r="I833"/>
      <c r="J833"/>
      <c r="K833"/>
    </row>
    <row r="834" spans="2:11">
      <c r="B834"/>
      <c r="C834"/>
      <c r="D834"/>
      <c r="E834"/>
      <c r="F834"/>
      <c r="G834"/>
      <c r="H834"/>
      <c r="I834"/>
      <c r="J834"/>
      <c r="K834"/>
    </row>
    <row r="835" spans="2:11">
      <c r="B835"/>
      <c r="C835"/>
      <c r="D835"/>
      <c r="E835"/>
      <c r="F835"/>
      <c r="G835"/>
      <c r="H835"/>
      <c r="I835"/>
      <c r="J835"/>
      <c r="K835"/>
    </row>
    <row r="836" spans="2:11">
      <c r="B836"/>
      <c r="C836"/>
      <c r="D836"/>
      <c r="E836"/>
      <c r="F836"/>
      <c r="G836"/>
      <c r="H836"/>
      <c r="I836"/>
      <c r="J836"/>
      <c r="K836"/>
    </row>
  </sheetData>
  <sheetProtection algorithmName="SHA-512" hashValue="d55O9lCRbvsPre8mFQcDpDrvkAZSOFt3LIHE5QzOmJc20T/SREI0ildgufjb8KrhTvIu4cYnKbA39oveIMjzxg==" saltValue="Nbq5f89yEZVXVhgNnEjTTQ==" spinCount="100000" sheet="1" objects="1" scenarios="1"/>
  <mergeCells count="1">
    <mergeCell ref="M3:P4"/>
  </mergeCells>
  <conditionalFormatting sqref="S554">
    <cfRule type="expression" dxfId="165" priority="363">
      <formula>OR($E554&lt;&gt;"",$F554&lt;&gt;"",$G554&lt;&gt;"")</formula>
    </cfRule>
  </conditionalFormatting>
  <dataValidations count="1">
    <dataValidation type="list" allowBlank="1" showInputMessage="1" showErrorMessage="1" sqref="C6">
      <formula1>cohort</formula1>
    </dataValidation>
  </dataValidations>
  <pageMargins left="0.23622047244094491" right="0.23622047244094491" top="0.74803149606299213" bottom="0.74803149606299213" header="0.31496062992125984" footer="0.31496062992125984"/>
  <pageSetup paperSize="9" scale="79" fitToHeight="0" orientation="portrait" horizontalDpi="1200" verticalDpi="1200" r:id="rId1"/>
  <rowBreaks count="2" manualBreakCount="2">
    <brk id="157" max="16383" man="1"/>
    <brk id="600" min="1" max="8" man="1"/>
  </rowBreaks>
  <colBreaks count="1" manualBreakCount="1">
    <brk id="8" max="1048575" man="1"/>
  </colBreaks>
  <drawing r:id="rId2"/>
  <legacyDrawing r:id="rId3"/>
  <controls>
    <mc:AlternateContent xmlns:mc="http://schemas.openxmlformats.org/markup-compatibility/2006">
      <mc:Choice Requires="x14">
        <control shapeId="1040" r:id="rId4" name="CommandButton_Lock_And_Hide">
          <controlPr defaultSize="0" autoFill="0" autoLine="0" r:id="rId5">
            <anchor moveWithCells="1">
              <from>
                <xdr:col>12</xdr:col>
                <xdr:colOff>257175</xdr:colOff>
                <xdr:row>9</xdr:row>
                <xdr:rowOff>19050</xdr:rowOff>
              </from>
              <to>
                <xdr:col>15</xdr:col>
                <xdr:colOff>361950</xdr:colOff>
                <xdr:row>11</xdr:row>
                <xdr:rowOff>180975</xdr:rowOff>
              </to>
            </anchor>
          </controlPr>
        </control>
      </mc:Choice>
      <mc:Fallback>
        <control shapeId="1040" r:id="rId4" name="CommandButton_Lock_And_Hide"/>
      </mc:Fallback>
    </mc:AlternateContent>
    <mc:AlternateContent xmlns:mc="http://schemas.openxmlformats.org/markup-compatibility/2006">
      <mc:Choice Requires="x14">
        <control shapeId="1039" r:id="rId6" name="CommandButton_AdminMode">
          <controlPr defaultSize="0" autoLine="0" r:id="rId7">
            <anchor moveWithCells="1">
              <from>
                <xdr:col>12</xdr:col>
                <xdr:colOff>247650</xdr:colOff>
                <xdr:row>4</xdr:row>
                <xdr:rowOff>161925</xdr:rowOff>
              </from>
              <to>
                <xdr:col>15</xdr:col>
                <xdr:colOff>352425</xdr:colOff>
                <xdr:row>7</xdr:row>
                <xdr:rowOff>133350</xdr:rowOff>
              </to>
            </anchor>
          </controlPr>
        </control>
      </mc:Choice>
      <mc:Fallback>
        <control shapeId="1039" r:id="rId6" name="CommandButton_AdminMode"/>
      </mc:Fallback>
    </mc:AlternateContent>
    <mc:AlternateContent xmlns:mc="http://schemas.openxmlformats.org/markup-compatibility/2006">
      <mc:Choice Requires="x14">
        <control shapeId="1038" r:id="rId8" name="CommandButton_Minor">
          <controlPr defaultSize="0" autoLine="0" r:id="rId9">
            <anchor moveWithCells="1">
              <from>
                <xdr:col>9</xdr:col>
                <xdr:colOff>0</xdr:colOff>
                <xdr:row>43</xdr:row>
                <xdr:rowOff>142875</xdr:rowOff>
              </from>
              <to>
                <xdr:col>11</xdr:col>
                <xdr:colOff>1057275</xdr:colOff>
                <xdr:row>47</xdr:row>
                <xdr:rowOff>47625</xdr:rowOff>
              </to>
            </anchor>
          </controlPr>
        </control>
      </mc:Choice>
      <mc:Fallback>
        <control shapeId="1038" r:id="rId8" name="CommandButton_Minor"/>
      </mc:Fallback>
    </mc:AlternateContent>
    <mc:AlternateContent xmlns:mc="http://schemas.openxmlformats.org/markup-compatibility/2006">
      <mc:Choice Requires="x14">
        <control shapeId="1027" r:id="rId10" name="CommandButton1">
          <controlPr defaultSize="0" autoLine="0" r:id="rId11">
            <anchor moveWithCells="1">
              <from>
                <xdr:col>4</xdr:col>
                <xdr:colOff>85725</xdr:colOff>
                <xdr:row>4</xdr:row>
                <xdr:rowOff>19050</xdr:rowOff>
              </from>
              <to>
                <xdr:col>6</xdr:col>
                <xdr:colOff>914400</xdr:colOff>
                <xdr:row>6</xdr:row>
                <xdr:rowOff>57150</xdr:rowOff>
              </to>
            </anchor>
          </controlPr>
        </control>
      </mc:Choice>
      <mc:Fallback>
        <control shapeId="1027" r:id="rId10" name="CommandButton1"/>
      </mc:Fallback>
    </mc:AlternateContent>
    <mc:AlternateContent xmlns:mc="http://schemas.openxmlformats.org/markup-compatibility/2006">
      <mc:Choice Requires="x14">
        <control shapeId="1036" r:id="rId12" name="CommandButton2">
          <controlPr defaultSize="0" autoLine="0" r:id="rId13">
            <anchor moveWithCells="1">
              <from>
                <xdr:col>11</xdr:col>
                <xdr:colOff>133350</xdr:colOff>
                <xdr:row>4</xdr:row>
                <xdr:rowOff>95250</xdr:rowOff>
              </from>
              <to>
                <xdr:col>11</xdr:col>
                <xdr:colOff>2457450</xdr:colOff>
                <xdr:row>7</xdr:row>
                <xdr:rowOff>142875</xdr:rowOff>
              </to>
            </anchor>
          </controlPr>
        </control>
      </mc:Choice>
      <mc:Fallback>
        <control shapeId="1036" r:id="rId12" name="CommandButton2"/>
      </mc:Fallback>
    </mc:AlternateContent>
    <mc:AlternateContent xmlns:mc="http://schemas.openxmlformats.org/markup-compatibility/2006">
      <mc:Choice Requires="x14">
        <control shapeId="1037" r:id="rId14" name="CommandButton3">
          <controlPr defaultSize="0" autoLine="0" r:id="rId15">
            <anchor moveWithCells="1">
              <from>
                <xdr:col>11</xdr:col>
                <xdr:colOff>133350</xdr:colOff>
                <xdr:row>8</xdr:row>
                <xdr:rowOff>171450</xdr:rowOff>
              </from>
              <to>
                <xdr:col>11</xdr:col>
                <xdr:colOff>2466975</xdr:colOff>
                <xdr:row>11</xdr:row>
                <xdr:rowOff>171450</xdr:rowOff>
              </to>
            </anchor>
          </controlPr>
        </control>
      </mc:Choice>
      <mc:Fallback>
        <control shapeId="1037" r:id="rId14" name="Command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51"/>
  <sheetViews>
    <sheetView topLeftCell="A313" workbookViewId="0">
      <selection activeCell="B257" sqref="B257:D257"/>
    </sheetView>
  </sheetViews>
  <sheetFormatPr defaultColWidth="9.140625" defaultRowHeight="15.75"/>
  <cols>
    <col min="1" max="1" width="35.7109375" style="181" customWidth="1"/>
    <col min="2" max="2" width="19.28515625" style="132" customWidth="1"/>
    <col min="3" max="3" width="37.7109375" style="132" customWidth="1"/>
    <col min="4" max="4" width="9.140625" style="133"/>
    <col min="5" max="5" width="14.28515625" style="133" customWidth="1"/>
    <col min="6" max="6" width="16.85546875" style="132" customWidth="1"/>
    <col min="7" max="7" width="37.7109375" style="132" customWidth="1"/>
    <col min="8" max="8" width="9.140625" style="133" customWidth="1"/>
    <col min="9" max="9" width="9.140625" style="132" customWidth="1"/>
    <col min="10" max="11" width="9.140625" style="132"/>
    <col min="12" max="12" width="15.140625" style="132" customWidth="1"/>
    <col min="13" max="13" width="18.7109375" style="132" customWidth="1"/>
    <col min="14" max="18" width="9.140625" style="132"/>
    <col min="19" max="19" width="33.42578125" style="132" customWidth="1"/>
    <col min="20" max="16384" width="9.140625" style="132"/>
  </cols>
  <sheetData>
    <row r="1" spans="1:9" s="129" customFormat="1" ht="36.75" customHeight="1">
      <c r="A1" s="128" t="s">
        <v>7</v>
      </c>
      <c r="D1" s="130"/>
      <c r="E1" s="130"/>
      <c r="H1" s="130"/>
    </row>
    <row r="2" spans="1:9">
      <c r="A2" s="131" t="s">
        <v>39</v>
      </c>
    </row>
    <row r="3" spans="1:9">
      <c r="A3" s="132"/>
      <c r="B3" s="134" t="s">
        <v>350</v>
      </c>
    </row>
    <row r="4" spans="1:9">
      <c r="A4" s="132"/>
      <c r="B4" s="135" t="s">
        <v>246</v>
      </c>
      <c r="D4" s="136"/>
      <c r="E4" s="137"/>
      <c r="I4" s="133"/>
    </row>
    <row r="5" spans="1:9">
      <c r="A5" s="132"/>
    </row>
    <row r="6" spans="1:9">
      <c r="A6" s="132"/>
      <c r="B6" s="138" t="s">
        <v>16</v>
      </c>
      <c r="C6" s="324"/>
      <c r="D6" s="324"/>
      <c r="E6" s="324"/>
      <c r="F6" s="324"/>
      <c r="G6" s="324"/>
      <c r="H6" s="324"/>
      <c r="I6" s="324"/>
    </row>
    <row r="7" spans="1:9">
      <c r="A7" s="132"/>
      <c r="B7" s="138" t="s">
        <v>17</v>
      </c>
      <c r="C7" s="324"/>
      <c r="D7" s="324"/>
      <c r="E7" s="324"/>
      <c r="F7" s="324"/>
      <c r="G7" s="324"/>
      <c r="H7" s="324"/>
      <c r="I7" s="324"/>
    </row>
    <row r="8" spans="1:9">
      <c r="A8" s="132"/>
      <c r="B8" s="138" t="s">
        <v>4</v>
      </c>
      <c r="C8" s="324"/>
      <c r="D8" s="324"/>
      <c r="E8" s="324"/>
      <c r="F8" s="324"/>
      <c r="G8" s="324"/>
      <c r="H8" s="324"/>
      <c r="I8" s="324"/>
    </row>
    <row r="9" spans="1:9">
      <c r="A9" s="132"/>
      <c r="B9" s="138" t="s">
        <v>5</v>
      </c>
      <c r="C9" s="324"/>
      <c r="D9" s="324"/>
      <c r="E9" s="324"/>
      <c r="F9" s="324"/>
      <c r="G9" s="324"/>
      <c r="H9" s="324"/>
      <c r="I9" s="324"/>
    </row>
    <row r="10" spans="1:9">
      <c r="A10" s="132"/>
      <c r="B10" s="138" t="s">
        <v>249</v>
      </c>
      <c r="C10" s="317" t="s">
        <v>39</v>
      </c>
      <c r="D10" s="317"/>
      <c r="E10" s="317"/>
      <c r="F10" s="317"/>
      <c r="G10" s="317"/>
      <c r="H10" s="317"/>
      <c r="I10" s="317"/>
    </row>
    <row r="11" spans="1:9">
      <c r="A11" s="132"/>
      <c r="B11" s="139"/>
    </row>
    <row r="12" spans="1:9" ht="16.5" thickBot="1">
      <c r="A12" s="132"/>
      <c r="B12" s="140"/>
      <c r="C12" s="140" t="s">
        <v>389</v>
      </c>
      <c r="D12" s="141"/>
      <c r="E12" s="141"/>
      <c r="F12" s="140"/>
      <c r="G12" s="141" t="s">
        <v>40</v>
      </c>
      <c r="H12" s="141"/>
      <c r="I12" s="142"/>
    </row>
    <row r="13" spans="1:9">
      <c r="A13" s="132"/>
      <c r="B13" s="143" t="s">
        <v>37</v>
      </c>
      <c r="C13" s="144" t="s">
        <v>38</v>
      </c>
      <c r="D13" s="145" t="s">
        <v>2</v>
      </c>
      <c r="E13" s="146" t="s">
        <v>241</v>
      </c>
      <c r="F13" s="147" t="s">
        <v>37</v>
      </c>
      <c r="G13" s="145" t="s">
        <v>38</v>
      </c>
      <c r="H13" s="145" t="s">
        <v>2</v>
      </c>
    </row>
    <row r="14" spans="1:9">
      <c r="A14" s="132"/>
      <c r="B14" s="200" t="s">
        <v>166</v>
      </c>
      <c r="C14" s="44" t="s">
        <v>254</v>
      </c>
      <c r="D14" s="53">
        <v>3</v>
      </c>
      <c r="E14" s="81" t="s">
        <v>44</v>
      </c>
      <c r="F14" s="148"/>
      <c r="G14" s="148"/>
      <c r="H14" s="149"/>
    </row>
    <row r="15" spans="1:9">
      <c r="A15" s="132"/>
      <c r="B15" s="200" t="s">
        <v>258</v>
      </c>
      <c r="C15" s="44" t="s">
        <v>259</v>
      </c>
      <c r="D15" s="53">
        <v>3</v>
      </c>
      <c r="E15" s="81" t="s">
        <v>44</v>
      </c>
      <c r="F15" s="148"/>
      <c r="G15" s="148"/>
      <c r="H15" s="149"/>
    </row>
    <row r="16" spans="1:9">
      <c r="A16" s="132"/>
      <c r="B16" s="200" t="s">
        <v>169</v>
      </c>
      <c r="C16" s="44" t="s">
        <v>252</v>
      </c>
      <c r="D16" s="53">
        <v>6</v>
      </c>
      <c r="E16" s="81" t="s">
        <v>44</v>
      </c>
      <c r="F16" s="148"/>
      <c r="G16" s="148"/>
      <c r="H16" s="149"/>
    </row>
    <row r="17" spans="1:8">
      <c r="A17" s="132"/>
      <c r="B17" s="200" t="s">
        <v>256</v>
      </c>
      <c r="C17" s="44" t="s">
        <v>257</v>
      </c>
      <c r="D17" s="53">
        <v>3</v>
      </c>
      <c r="E17" s="81" t="s">
        <v>44</v>
      </c>
      <c r="F17" s="148"/>
      <c r="G17" s="148"/>
      <c r="H17" s="149"/>
    </row>
    <row r="18" spans="1:8">
      <c r="A18" s="132"/>
      <c r="B18" s="200" t="s">
        <v>162</v>
      </c>
      <c r="C18" s="44" t="s">
        <v>253</v>
      </c>
      <c r="D18" s="53">
        <v>3</v>
      </c>
      <c r="E18" s="81" t="s">
        <v>44</v>
      </c>
      <c r="F18" s="148"/>
      <c r="G18" s="148"/>
      <c r="H18" s="149"/>
    </row>
    <row r="19" spans="1:8">
      <c r="A19" s="132"/>
      <c r="B19" s="200" t="s">
        <v>262</v>
      </c>
      <c r="C19" s="44" t="s">
        <v>263</v>
      </c>
      <c r="D19" s="53">
        <v>6</v>
      </c>
      <c r="E19" s="81" t="s">
        <v>44</v>
      </c>
      <c r="F19" s="148"/>
      <c r="G19" s="148"/>
      <c r="H19" s="149"/>
    </row>
    <row r="20" spans="1:8">
      <c r="A20" s="132"/>
      <c r="B20" s="200" t="s">
        <v>260</v>
      </c>
      <c r="C20" s="44" t="s">
        <v>261</v>
      </c>
      <c r="D20" s="53">
        <v>6</v>
      </c>
      <c r="E20" s="53" t="s">
        <v>44</v>
      </c>
      <c r="F20" s="148"/>
      <c r="G20" s="148"/>
      <c r="H20" s="149"/>
    </row>
    <row r="21" spans="1:8">
      <c r="A21" s="132"/>
      <c r="B21" s="200" t="s">
        <v>264</v>
      </c>
      <c r="C21" s="44" t="s">
        <v>265</v>
      </c>
      <c r="D21" s="53">
        <v>3</v>
      </c>
      <c r="E21" s="53" t="s">
        <v>44</v>
      </c>
      <c r="F21" s="148"/>
      <c r="G21" s="148"/>
      <c r="H21" s="149"/>
    </row>
    <row r="22" spans="1:8">
      <c r="A22" s="132"/>
      <c r="B22" s="200" t="s">
        <v>13</v>
      </c>
      <c r="C22" s="44" t="s">
        <v>14</v>
      </c>
      <c r="D22" s="53">
        <v>3</v>
      </c>
      <c r="E22" s="53" t="s">
        <v>44</v>
      </c>
      <c r="F22" s="148"/>
      <c r="G22" s="148"/>
      <c r="H22" s="149"/>
    </row>
    <row r="23" spans="1:8">
      <c r="A23" s="132"/>
      <c r="B23" s="200" t="s">
        <v>18</v>
      </c>
      <c r="C23" s="44" t="s">
        <v>255</v>
      </c>
      <c r="D23" s="53">
        <v>3</v>
      </c>
      <c r="E23" s="53" t="s">
        <v>44</v>
      </c>
      <c r="F23" s="148"/>
      <c r="G23" s="148"/>
      <c r="H23" s="149"/>
    </row>
    <row r="24" spans="1:8">
      <c r="A24" s="132"/>
      <c r="B24" s="325" t="s">
        <v>266</v>
      </c>
      <c r="C24" s="326"/>
      <c r="D24" s="326"/>
      <c r="E24" s="327"/>
      <c r="F24" s="148"/>
      <c r="G24" s="148"/>
      <c r="H24" s="149"/>
    </row>
    <row r="25" spans="1:8">
      <c r="A25" s="132"/>
      <c r="B25" s="202" t="s">
        <v>281</v>
      </c>
      <c r="C25" s="202" t="s">
        <v>267</v>
      </c>
      <c r="D25" s="203">
        <v>6</v>
      </c>
      <c r="E25" s="92"/>
      <c r="F25" s="148"/>
      <c r="G25" s="148"/>
      <c r="H25" s="149"/>
    </row>
    <row r="26" spans="1:8">
      <c r="A26" s="132"/>
      <c r="B26" s="204" t="s">
        <v>269</v>
      </c>
      <c r="C26" s="204" t="s">
        <v>268</v>
      </c>
      <c r="D26" s="205">
        <v>6</v>
      </c>
      <c r="E26" s="13"/>
      <c r="F26" s="148"/>
      <c r="G26" s="148"/>
      <c r="H26" s="149"/>
    </row>
    <row r="27" spans="1:8">
      <c r="A27" s="132"/>
      <c r="B27" s="206" t="s">
        <v>273</v>
      </c>
      <c r="C27" s="206" t="s">
        <v>270</v>
      </c>
      <c r="D27" s="207">
        <v>6</v>
      </c>
      <c r="E27" s="13"/>
      <c r="F27" s="148"/>
      <c r="G27" s="148"/>
      <c r="H27" s="149"/>
    </row>
    <row r="28" spans="1:8">
      <c r="A28" s="132"/>
      <c r="B28" s="206" t="s">
        <v>272</v>
      </c>
      <c r="C28" s="206" t="s">
        <v>271</v>
      </c>
      <c r="D28" s="207">
        <v>6</v>
      </c>
      <c r="E28" s="13"/>
      <c r="F28" s="148"/>
      <c r="G28" s="148"/>
      <c r="H28" s="149"/>
    </row>
    <row r="29" spans="1:8">
      <c r="A29" s="132"/>
      <c r="B29" s="208" t="s">
        <v>280</v>
      </c>
      <c r="C29" s="208" t="s">
        <v>274</v>
      </c>
      <c r="D29" s="209">
        <v>6</v>
      </c>
      <c r="E29" s="13"/>
      <c r="F29" s="148"/>
      <c r="G29" s="148"/>
      <c r="H29" s="149"/>
    </row>
    <row r="30" spans="1:8">
      <c r="A30" s="132"/>
      <c r="B30" s="208" t="s">
        <v>279</v>
      </c>
      <c r="C30" s="208" t="s">
        <v>275</v>
      </c>
      <c r="D30" s="209">
        <v>3</v>
      </c>
      <c r="E30" s="13"/>
      <c r="F30" s="148"/>
      <c r="G30" s="148"/>
      <c r="H30" s="149"/>
    </row>
    <row r="31" spans="1:8">
      <c r="A31" s="132"/>
      <c r="B31" s="210" t="s">
        <v>170</v>
      </c>
      <c r="C31" s="210" t="s">
        <v>276</v>
      </c>
      <c r="D31" s="211">
        <v>6</v>
      </c>
      <c r="E31" s="13"/>
      <c r="F31" s="148"/>
      <c r="G31" s="148"/>
      <c r="H31" s="149"/>
    </row>
    <row r="32" spans="1:8">
      <c r="A32" s="132"/>
      <c r="B32" s="210" t="s">
        <v>278</v>
      </c>
      <c r="C32" s="210" t="s">
        <v>277</v>
      </c>
      <c r="D32" s="211">
        <v>6</v>
      </c>
      <c r="E32" s="13"/>
      <c r="F32" s="148"/>
      <c r="G32" s="148"/>
      <c r="H32" s="149"/>
    </row>
    <row r="33" spans="1:9">
      <c r="A33" s="132"/>
      <c r="C33" s="151" t="s">
        <v>15</v>
      </c>
      <c r="D33" s="152">
        <f>SUMIFS(D14:D32,H14:H32,"",E14:E32,"Yes")+SUM(H14:H32)</f>
        <v>39</v>
      </c>
      <c r="E33" s="137"/>
      <c r="I33" s="133"/>
    </row>
    <row r="34" spans="1:9">
      <c r="A34" s="132"/>
      <c r="E34" s="254"/>
      <c r="F34" s="158"/>
      <c r="G34" s="158"/>
      <c r="H34" s="254"/>
    </row>
    <row r="35" spans="1:9" ht="16.5" thickBot="1">
      <c r="A35" s="132"/>
      <c r="B35" s="253"/>
      <c r="C35" s="171" t="s">
        <v>391</v>
      </c>
      <c r="D35" s="172"/>
    </row>
    <row r="36" spans="1:9">
      <c r="A36" s="132"/>
      <c r="B36" s="153" t="s">
        <v>392</v>
      </c>
    </row>
    <row r="37" spans="1:9">
      <c r="A37" s="132"/>
      <c r="B37" s="154" t="s">
        <v>23</v>
      </c>
      <c r="C37" s="155" t="s">
        <v>24</v>
      </c>
      <c r="D37" s="156"/>
      <c r="E37" s="157"/>
      <c r="G37" s="158"/>
      <c r="H37" s="159"/>
    </row>
    <row r="38" spans="1:9" ht="16.5" thickBot="1">
      <c r="A38" s="132"/>
      <c r="B38" s="160" t="s">
        <v>49</v>
      </c>
      <c r="C38" s="161" t="s">
        <v>42</v>
      </c>
      <c r="D38" s="162"/>
      <c r="E38" s="163"/>
      <c r="F38" s="164"/>
      <c r="G38" s="141" t="s">
        <v>22</v>
      </c>
      <c r="H38" s="141"/>
    </row>
    <row r="39" spans="1:9">
      <c r="A39" s="132" t="s">
        <v>393</v>
      </c>
      <c r="B39" s="143" t="s">
        <v>37</v>
      </c>
      <c r="C39" s="165" t="s">
        <v>38</v>
      </c>
      <c r="D39" s="192" t="s">
        <v>2</v>
      </c>
      <c r="E39" s="187" t="s">
        <v>48</v>
      </c>
      <c r="F39" s="143" t="s">
        <v>37</v>
      </c>
      <c r="G39" s="166" t="s">
        <v>38</v>
      </c>
      <c r="H39" s="145" t="s">
        <v>2</v>
      </c>
    </row>
    <row r="40" spans="1:9">
      <c r="A40" s="132"/>
      <c r="B40" s="167"/>
      <c r="C40" s="167"/>
      <c r="D40" s="150"/>
      <c r="E40" s="168"/>
      <c r="F40" s="150"/>
      <c r="G40" s="150"/>
      <c r="H40" s="150"/>
    </row>
    <row r="41" spans="1:9">
      <c r="A41" s="132"/>
      <c r="B41" s="167"/>
      <c r="C41" s="167"/>
      <c r="D41" s="150"/>
      <c r="E41" s="168"/>
      <c r="F41" s="150"/>
      <c r="G41" s="150"/>
      <c r="H41" s="150"/>
    </row>
    <row r="42" spans="1:9">
      <c r="A42" s="132" t="s">
        <v>394</v>
      </c>
      <c r="B42" s="169"/>
      <c r="C42" s="151" t="s">
        <v>15</v>
      </c>
      <c r="D42" s="152">
        <f>SUMIFS(D39:D41,H39:H41,"",E39:E41,"Yes")+SUM(H39:H41)</f>
        <v>0</v>
      </c>
      <c r="E42" s="137"/>
      <c r="F42" s="135"/>
      <c r="G42" s="135"/>
      <c r="H42" s="170"/>
    </row>
    <row r="43" spans="1:9">
      <c r="A43" s="132"/>
      <c r="B43" s="55" t="s">
        <v>247</v>
      </c>
    </row>
    <row r="44" spans="1:9">
      <c r="A44" s="132"/>
      <c r="B44" s="55" t="s">
        <v>390</v>
      </c>
    </row>
    <row r="45" spans="1:9">
      <c r="A45" s="132"/>
      <c r="B45" s="55" t="s">
        <v>284</v>
      </c>
    </row>
    <row r="46" spans="1:9" ht="16.5" thickBot="1">
      <c r="A46" s="132"/>
      <c r="B46" s="164"/>
      <c r="C46" s="171" t="s">
        <v>383</v>
      </c>
      <c r="D46" s="172"/>
      <c r="E46" s="172"/>
      <c r="F46" s="164"/>
      <c r="G46" s="140" t="s">
        <v>282</v>
      </c>
      <c r="H46" s="141"/>
    </row>
    <row r="47" spans="1:9">
      <c r="A47" s="132"/>
      <c r="B47" s="143" t="s">
        <v>37</v>
      </c>
      <c r="C47" s="165" t="s">
        <v>38</v>
      </c>
      <c r="D47" s="192" t="s">
        <v>2</v>
      </c>
      <c r="E47" s="185" t="s">
        <v>48</v>
      </c>
      <c r="F47" s="143" t="s">
        <v>37</v>
      </c>
      <c r="G47" s="143" t="s">
        <v>38</v>
      </c>
      <c r="H47" s="192" t="s">
        <v>2</v>
      </c>
    </row>
    <row r="48" spans="1:9">
      <c r="A48" s="132"/>
      <c r="B48" s="183" t="str">
        <f t="shared" ref="B48:B63" si="0">VLOOKUP(C48,math_elective_list,2,0)</f>
        <v/>
      </c>
      <c r="C48" s="167" t="s">
        <v>346</v>
      </c>
      <c r="D48" s="214" t="str">
        <f t="shared" ref="D48:D63" si="1">VLOOKUP(C48,math_elective_list,3,0)</f>
        <v/>
      </c>
      <c r="E48" s="186"/>
      <c r="F48" s="150"/>
      <c r="G48" s="150"/>
      <c r="H48" s="150"/>
    </row>
    <row r="49" spans="1:8">
      <c r="A49" s="132"/>
      <c r="B49" s="183" t="str">
        <f t="shared" si="0"/>
        <v/>
      </c>
      <c r="C49" s="167" t="s">
        <v>6</v>
      </c>
      <c r="D49" s="214" t="str">
        <f t="shared" si="1"/>
        <v/>
      </c>
      <c r="E49" s="186"/>
      <c r="F49" s="150"/>
      <c r="G49" s="150"/>
      <c r="H49" s="150"/>
    </row>
    <row r="50" spans="1:8">
      <c r="A50" s="132"/>
      <c r="B50" s="183" t="str">
        <f t="shared" si="0"/>
        <v/>
      </c>
      <c r="C50" s="167" t="s">
        <v>6</v>
      </c>
      <c r="D50" s="214" t="str">
        <f t="shared" si="1"/>
        <v/>
      </c>
      <c r="E50" s="186"/>
      <c r="F50" s="150"/>
      <c r="G50" s="150"/>
      <c r="H50" s="150"/>
    </row>
    <row r="51" spans="1:8">
      <c r="A51" s="132"/>
      <c r="B51" s="183" t="str">
        <f t="shared" si="0"/>
        <v/>
      </c>
      <c r="C51" s="167" t="s">
        <v>6</v>
      </c>
      <c r="D51" s="214" t="str">
        <f t="shared" si="1"/>
        <v/>
      </c>
      <c r="E51" s="186"/>
      <c r="F51" s="150"/>
      <c r="G51" s="150"/>
      <c r="H51" s="150"/>
    </row>
    <row r="52" spans="1:8">
      <c r="A52" s="132"/>
      <c r="B52" s="183" t="str">
        <f t="shared" si="0"/>
        <v/>
      </c>
      <c r="C52" s="167" t="s">
        <v>6</v>
      </c>
      <c r="D52" s="214" t="str">
        <f t="shared" si="1"/>
        <v/>
      </c>
      <c r="E52" s="186"/>
      <c r="F52" s="150"/>
      <c r="G52" s="150"/>
      <c r="H52" s="150"/>
    </row>
    <row r="53" spans="1:8">
      <c r="A53" s="132"/>
      <c r="B53" s="183" t="str">
        <f t="shared" si="0"/>
        <v/>
      </c>
      <c r="C53" s="167" t="s">
        <v>6</v>
      </c>
      <c r="D53" s="214" t="str">
        <f t="shared" si="1"/>
        <v/>
      </c>
      <c r="E53" s="186"/>
      <c r="F53" s="150"/>
      <c r="G53" s="150"/>
      <c r="H53" s="150"/>
    </row>
    <row r="54" spans="1:8">
      <c r="A54" s="132"/>
      <c r="B54" s="183" t="str">
        <f t="shared" si="0"/>
        <v/>
      </c>
      <c r="C54" s="167" t="s">
        <v>6</v>
      </c>
      <c r="D54" s="214" t="str">
        <f t="shared" si="1"/>
        <v/>
      </c>
      <c r="E54" s="186"/>
      <c r="F54" s="150"/>
      <c r="G54" s="150"/>
      <c r="H54" s="150"/>
    </row>
    <row r="55" spans="1:8">
      <c r="A55" s="132"/>
      <c r="B55" s="183" t="str">
        <f t="shared" si="0"/>
        <v/>
      </c>
      <c r="C55" s="167" t="s">
        <v>6</v>
      </c>
      <c r="D55" s="214" t="str">
        <f t="shared" si="1"/>
        <v/>
      </c>
      <c r="E55" s="186"/>
      <c r="F55" s="150"/>
      <c r="G55" s="150"/>
      <c r="H55" s="150"/>
    </row>
    <row r="56" spans="1:8">
      <c r="A56" s="132"/>
      <c r="B56" s="183" t="str">
        <f t="shared" si="0"/>
        <v/>
      </c>
      <c r="C56" s="167" t="s">
        <v>6</v>
      </c>
      <c r="D56" s="214" t="str">
        <f t="shared" si="1"/>
        <v/>
      </c>
      <c r="E56" s="186"/>
      <c r="F56" s="150"/>
      <c r="G56" s="150"/>
      <c r="H56" s="150"/>
    </row>
    <row r="57" spans="1:8">
      <c r="A57" s="132"/>
      <c r="B57" s="183" t="str">
        <f t="shared" si="0"/>
        <v/>
      </c>
      <c r="C57" s="167" t="s">
        <v>6</v>
      </c>
      <c r="D57" s="214" t="str">
        <f t="shared" si="1"/>
        <v/>
      </c>
      <c r="E57" s="186"/>
      <c r="F57" s="150"/>
      <c r="G57" s="150"/>
      <c r="H57" s="150"/>
    </row>
    <row r="58" spans="1:8">
      <c r="A58" s="132"/>
      <c r="B58" s="183" t="str">
        <f t="shared" si="0"/>
        <v/>
      </c>
      <c r="C58" s="167" t="s">
        <v>6</v>
      </c>
      <c r="D58" s="214" t="str">
        <f t="shared" si="1"/>
        <v/>
      </c>
      <c r="E58" s="186"/>
      <c r="F58" s="150"/>
      <c r="G58" s="150"/>
      <c r="H58" s="150"/>
    </row>
    <row r="59" spans="1:8">
      <c r="A59" s="132"/>
      <c r="B59" s="183" t="str">
        <f t="shared" si="0"/>
        <v/>
      </c>
      <c r="C59" s="167" t="s">
        <v>6</v>
      </c>
      <c r="D59" s="214" t="str">
        <f t="shared" si="1"/>
        <v/>
      </c>
      <c r="E59" s="186"/>
      <c r="F59" s="150"/>
      <c r="G59" s="150"/>
      <c r="H59" s="150"/>
    </row>
    <row r="60" spans="1:8">
      <c r="A60" s="132"/>
      <c r="B60" s="183" t="str">
        <f t="shared" si="0"/>
        <v/>
      </c>
      <c r="C60" s="167" t="s">
        <v>6</v>
      </c>
      <c r="D60" s="214" t="str">
        <f t="shared" si="1"/>
        <v/>
      </c>
      <c r="E60" s="186"/>
      <c r="F60" s="150"/>
      <c r="G60" s="150"/>
      <c r="H60" s="150"/>
    </row>
    <row r="61" spans="1:8">
      <c r="A61" s="132"/>
      <c r="B61" s="183" t="str">
        <f t="shared" si="0"/>
        <v/>
      </c>
      <c r="C61" s="167" t="s">
        <v>6</v>
      </c>
      <c r="D61" s="214" t="str">
        <f t="shared" si="1"/>
        <v/>
      </c>
      <c r="E61" s="186"/>
      <c r="F61" s="150"/>
      <c r="G61" s="150"/>
      <c r="H61" s="150"/>
    </row>
    <row r="62" spans="1:8">
      <c r="A62" s="132"/>
      <c r="B62" s="183" t="str">
        <f t="shared" si="0"/>
        <v/>
      </c>
      <c r="C62" s="167" t="s">
        <v>6</v>
      </c>
      <c r="D62" s="214" t="str">
        <f t="shared" si="1"/>
        <v/>
      </c>
      <c r="E62" s="186"/>
      <c r="F62" s="150"/>
      <c r="G62" s="150"/>
      <c r="H62" s="150"/>
    </row>
    <row r="63" spans="1:8">
      <c r="A63" s="132"/>
      <c r="B63" s="183" t="str">
        <f t="shared" si="0"/>
        <v/>
      </c>
      <c r="C63" s="167" t="s">
        <v>6</v>
      </c>
      <c r="D63" s="214" t="str">
        <f t="shared" si="1"/>
        <v/>
      </c>
      <c r="E63" s="186"/>
      <c r="F63" s="150"/>
      <c r="G63" s="150"/>
      <c r="H63" s="150"/>
    </row>
    <row r="64" spans="1:8">
      <c r="A64" s="132"/>
      <c r="B64" s="299" t="s">
        <v>285</v>
      </c>
      <c r="C64" s="300"/>
      <c r="D64" s="213">
        <f>SUM(D48:D63)</f>
        <v>0</v>
      </c>
      <c r="E64" s="216"/>
      <c r="F64" s="299" t="s">
        <v>286</v>
      </c>
      <c r="G64" s="300"/>
      <c r="H64" s="215">
        <f>SUM(H48:H63)</f>
        <v>0</v>
      </c>
    </row>
    <row r="65" spans="1:8">
      <c r="A65" s="132"/>
      <c r="C65" s="212" t="s">
        <v>287</v>
      </c>
      <c r="D65" s="152">
        <f>SUM(D64,H64)</f>
        <v>0</v>
      </c>
    </row>
    <row r="66" spans="1:8" customFormat="1" ht="15">
      <c r="H66" s="201"/>
    </row>
    <row r="67" spans="1:8" s="25" customFormat="1">
      <c r="A67" s="132"/>
      <c r="B67" s="132"/>
      <c r="C67" s="132"/>
      <c r="D67"/>
      <c r="E67" s="133"/>
      <c r="F67" s="132"/>
      <c r="G67" s="132"/>
      <c r="H67" s="133"/>
    </row>
    <row r="68" spans="1:8" ht="16.5" thickBot="1">
      <c r="A68" s="132"/>
      <c r="B68" s="164"/>
      <c r="C68" s="173" t="s">
        <v>347</v>
      </c>
      <c r="D68" s="141"/>
      <c r="E68" s="174"/>
      <c r="F68" s="164"/>
      <c r="G68" s="172"/>
    </row>
    <row r="69" spans="1:8">
      <c r="A69" s="132"/>
      <c r="B69" s="304" t="s">
        <v>242</v>
      </c>
      <c r="C69" s="305"/>
      <c r="D69" s="175">
        <v>12</v>
      </c>
      <c r="E69" s="306"/>
      <c r="F69" s="307"/>
      <c r="G69" s="176"/>
    </row>
    <row r="70" spans="1:8">
      <c r="A70" s="132"/>
      <c r="C70" s="177" t="s">
        <v>3</v>
      </c>
      <c r="D70" s="178">
        <f>SUM(D69)</f>
        <v>12</v>
      </c>
      <c r="G70" s="133"/>
    </row>
    <row r="71" spans="1:8">
      <c r="A71" s="132"/>
    </row>
    <row r="72" spans="1:8">
      <c r="A72" s="132"/>
    </row>
    <row r="73" spans="1:8">
      <c r="A73" s="132"/>
      <c r="C73" s="179" t="s">
        <v>243</v>
      </c>
      <c r="D73" s="180">
        <f>SUM(D70,D65,D42,D33)</f>
        <v>51</v>
      </c>
    </row>
    <row r="74" spans="1:8">
      <c r="A74" s="132"/>
      <c r="B74" s="25"/>
      <c r="C74" s="25"/>
      <c r="D74" s="25"/>
    </row>
    <row r="75" spans="1:8">
      <c r="A75" s="132"/>
      <c r="B75" s="251" t="s">
        <v>385</v>
      </c>
      <c r="C75" s="247"/>
      <c r="D75" s="247"/>
      <c r="E75" s="248"/>
      <c r="F75" s="249"/>
      <c r="G75" s="249"/>
    </row>
    <row r="76" spans="1:8">
      <c r="A76" s="132"/>
      <c r="B76" s="246"/>
      <c r="C76" s="247"/>
      <c r="D76" s="247"/>
      <c r="E76" s="248"/>
      <c r="F76" s="249"/>
      <c r="G76" s="249"/>
    </row>
    <row r="77" spans="1:8">
      <c r="A77" s="132"/>
      <c r="B77" s="246" t="s">
        <v>386</v>
      </c>
      <c r="C77" s="247"/>
      <c r="D77" s="247"/>
      <c r="E77" s="248"/>
      <c r="F77" s="249"/>
      <c r="G77" s="249"/>
    </row>
    <row r="78" spans="1:8">
      <c r="A78" s="132"/>
      <c r="B78" s="250" t="s">
        <v>387</v>
      </c>
      <c r="C78" s="247"/>
      <c r="D78" s="247"/>
      <c r="E78" s="248"/>
      <c r="F78" s="249"/>
      <c r="G78" s="249"/>
    </row>
    <row r="79" spans="1:8">
      <c r="A79" s="132"/>
      <c r="B79" s="250" t="s">
        <v>388</v>
      </c>
      <c r="C79" s="247"/>
      <c r="D79" s="247"/>
      <c r="E79" s="248"/>
      <c r="F79" s="249"/>
      <c r="G79" s="249"/>
    </row>
    <row r="80" spans="1:8">
      <c r="A80" s="132"/>
      <c r="B80" s="245"/>
      <c r="C80" s="25"/>
      <c r="D80" s="25"/>
    </row>
    <row r="81" spans="1:7">
      <c r="A81" s="132"/>
      <c r="B81"/>
      <c r="C81"/>
      <c r="D81"/>
    </row>
    <row r="82" spans="1:7" s="3" customFormat="1" ht="15">
      <c r="A82" s="33"/>
      <c r="B82" s="14" t="s">
        <v>348</v>
      </c>
      <c r="C82" s="14"/>
      <c r="D82" s="16"/>
      <c r="E82" s="34"/>
      <c r="G82" s="11"/>
    </row>
    <row r="83" spans="1:7" s="3" customFormat="1" ht="15">
      <c r="A83" s="33"/>
      <c r="B83" s="27" t="s">
        <v>0</v>
      </c>
      <c r="C83" s="27" t="s">
        <v>1</v>
      </c>
      <c r="D83" s="29" t="s">
        <v>2</v>
      </c>
      <c r="E83" s="15"/>
      <c r="G83" s="11"/>
    </row>
    <row r="84" spans="1:7" s="3" customFormat="1" ht="15">
      <c r="A84" s="33"/>
      <c r="B84" s="8"/>
      <c r="C84" s="8"/>
      <c r="D84" s="13"/>
      <c r="E84" s="37"/>
      <c r="G84" s="11"/>
    </row>
    <row r="85" spans="1:7" s="3" customFormat="1" ht="15">
      <c r="A85" s="33"/>
      <c r="B85" s="8"/>
      <c r="C85" s="8"/>
      <c r="D85" s="13"/>
      <c r="E85" s="37"/>
      <c r="G85" s="11"/>
    </row>
    <row r="86" spans="1:7" s="3" customFormat="1" ht="15">
      <c r="A86" s="33"/>
      <c r="B86" s="8"/>
      <c r="C86" s="8"/>
      <c r="D86" s="13"/>
      <c r="E86" s="37"/>
      <c r="G86" s="11"/>
    </row>
    <row r="87" spans="1:7" s="3" customFormat="1" ht="15">
      <c r="A87" s="33"/>
      <c r="B87" s="8"/>
      <c r="C87" s="8"/>
      <c r="D87" s="13"/>
      <c r="E87" s="37"/>
      <c r="G87" s="11"/>
    </row>
    <row r="88" spans="1:7" s="3" customFormat="1" ht="15">
      <c r="A88" s="33"/>
      <c r="B88" s="8"/>
      <c r="C88" s="8"/>
      <c r="D88" s="13"/>
      <c r="E88" s="37"/>
      <c r="G88" s="11"/>
    </row>
    <row r="89" spans="1:7" s="3" customFormat="1" ht="15">
      <c r="A89" s="33"/>
      <c r="B89" s="8"/>
      <c r="C89" s="8"/>
      <c r="D89" s="13"/>
      <c r="E89" s="37"/>
      <c r="G89" s="11"/>
    </row>
    <row r="90" spans="1:7" s="3" customFormat="1" ht="15">
      <c r="A90" s="33"/>
      <c r="B90" s="8"/>
      <c r="C90" s="8"/>
      <c r="D90" s="13"/>
      <c r="E90" s="37"/>
      <c r="G90" s="11"/>
    </row>
    <row r="91" spans="1:7" s="3" customFormat="1" ht="15">
      <c r="A91" s="33"/>
      <c r="B91" s="8"/>
      <c r="C91" s="8"/>
      <c r="D91" s="13"/>
      <c r="E91" s="37"/>
      <c r="G91" s="11"/>
    </row>
    <row r="92" spans="1:7" s="3" customFormat="1" ht="15">
      <c r="A92" s="33"/>
      <c r="B92" s="7"/>
      <c r="C92" s="7"/>
      <c r="D92" s="12"/>
      <c r="E92" s="37"/>
      <c r="G92" s="11"/>
    </row>
    <row r="93" spans="1:7" s="3" customFormat="1" ht="15">
      <c r="A93" s="33"/>
      <c r="B93" s="7"/>
      <c r="C93" s="7"/>
      <c r="D93" s="12"/>
      <c r="E93" s="37"/>
      <c r="G93" s="11"/>
    </row>
    <row r="94" spans="1:7" s="3" customFormat="1" ht="15">
      <c r="A94" s="33"/>
      <c r="B94" s="35"/>
      <c r="C94" s="36" t="s">
        <v>3</v>
      </c>
      <c r="D94" s="30">
        <f>SUM(D84:D93)</f>
        <v>0</v>
      </c>
      <c r="E94" s="38"/>
      <c r="G94" s="11"/>
    </row>
    <row r="95" spans="1:7" s="3" customFormat="1" ht="15">
      <c r="A95" s="33"/>
      <c r="D95" s="11"/>
      <c r="G95" s="11"/>
    </row>
    <row r="96" spans="1:7" s="3" customFormat="1">
      <c r="A96" s="33"/>
      <c r="B96" s="308" t="s">
        <v>349</v>
      </c>
      <c r="C96" s="308"/>
      <c r="D96" s="180">
        <f>SUM(D94,D73)</f>
        <v>51</v>
      </c>
      <c r="E96"/>
      <c r="G96" s="11"/>
    </row>
    <row r="97" spans="1:9" s="25" customFormat="1" ht="15"/>
    <row r="98" spans="1:9" s="25" customFormat="1" ht="15"/>
    <row r="99" spans="1:9" s="25" customFormat="1">
      <c r="B99" s="309" t="s">
        <v>384</v>
      </c>
      <c r="C99" s="309"/>
      <c r="D99" s="309"/>
    </row>
    <row r="100" spans="1:9" s="25" customFormat="1" ht="15">
      <c r="B100" s="310"/>
      <c r="C100" s="310"/>
      <c r="D100" s="310"/>
      <c r="E100" s="310"/>
      <c r="F100" s="310"/>
      <c r="G100" s="310"/>
    </row>
    <row r="101" spans="1:9" s="25" customFormat="1" ht="15">
      <c r="B101" s="310"/>
      <c r="C101" s="310"/>
      <c r="D101" s="310"/>
      <c r="E101" s="310"/>
      <c r="F101" s="310"/>
      <c r="G101" s="310"/>
    </row>
    <row r="102" spans="1:9" s="25" customFormat="1" ht="15">
      <c r="B102" s="310"/>
      <c r="C102" s="310"/>
      <c r="D102" s="310"/>
      <c r="E102" s="310"/>
      <c r="F102" s="310"/>
      <c r="G102" s="310"/>
    </row>
    <row r="103" spans="1:9" s="25" customFormat="1" ht="15">
      <c r="B103" s="310"/>
      <c r="C103" s="310"/>
      <c r="D103" s="310"/>
      <c r="E103" s="310"/>
      <c r="F103" s="310"/>
      <c r="G103" s="310"/>
    </row>
    <row r="104" spans="1:9" s="25" customFormat="1" ht="15">
      <c r="B104" s="310"/>
      <c r="C104" s="310"/>
      <c r="D104" s="310"/>
      <c r="E104" s="310"/>
      <c r="F104" s="310"/>
      <c r="G104" s="310"/>
    </row>
    <row r="105" spans="1:9">
      <c r="A105" s="181" t="s">
        <v>8</v>
      </c>
      <c r="D105" s="132"/>
      <c r="E105" s="132"/>
    </row>
    <row r="106" spans="1:9">
      <c r="A106" s="182">
        <v>2014</v>
      </c>
    </row>
    <row r="107" spans="1:9">
      <c r="A107" s="132"/>
      <c r="B107" s="134" t="s">
        <v>351</v>
      </c>
    </row>
    <row r="108" spans="1:9">
      <c r="A108" s="132"/>
      <c r="B108" s="135" t="s">
        <v>246</v>
      </c>
      <c r="D108" s="136"/>
      <c r="E108" s="137"/>
      <c r="I108" s="133"/>
    </row>
    <row r="109" spans="1:9">
      <c r="A109" s="132"/>
    </row>
    <row r="110" spans="1:9">
      <c r="A110" s="132"/>
      <c r="B110" s="138" t="s">
        <v>16</v>
      </c>
      <c r="C110" s="324"/>
      <c r="D110" s="324"/>
      <c r="E110" s="324"/>
      <c r="F110" s="324"/>
      <c r="G110" s="324"/>
      <c r="H110" s="324"/>
      <c r="I110" s="324"/>
    </row>
    <row r="111" spans="1:9">
      <c r="A111" s="132"/>
      <c r="B111" s="138" t="s">
        <v>17</v>
      </c>
      <c r="C111" s="324"/>
      <c r="D111" s="324"/>
      <c r="E111" s="324"/>
      <c r="F111" s="324"/>
      <c r="G111" s="324"/>
      <c r="H111" s="324"/>
      <c r="I111" s="324"/>
    </row>
    <row r="112" spans="1:9">
      <c r="A112" s="132"/>
      <c r="B112" s="138" t="s">
        <v>4</v>
      </c>
      <c r="C112" s="324"/>
      <c r="D112" s="324"/>
      <c r="E112" s="324"/>
      <c r="F112" s="324"/>
      <c r="G112" s="324"/>
      <c r="H112" s="324"/>
      <c r="I112" s="324"/>
    </row>
    <row r="113" spans="1:9">
      <c r="A113" s="132"/>
      <c r="B113" s="138" t="s">
        <v>5</v>
      </c>
      <c r="C113" s="324"/>
      <c r="D113" s="324"/>
      <c r="E113" s="324"/>
      <c r="F113" s="324"/>
      <c r="G113" s="324"/>
      <c r="H113" s="324"/>
      <c r="I113" s="324"/>
    </row>
    <row r="114" spans="1:9">
      <c r="A114" s="132"/>
      <c r="B114" s="138" t="s">
        <v>249</v>
      </c>
      <c r="C114" s="317" t="s">
        <v>43</v>
      </c>
      <c r="D114" s="317"/>
      <c r="E114" s="317"/>
      <c r="F114" s="317"/>
      <c r="G114" s="317"/>
      <c r="H114" s="317"/>
      <c r="I114" s="317"/>
    </row>
    <row r="115" spans="1:9">
      <c r="A115" s="132"/>
      <c r="B115" s="139"/>
    </row>
    <row r="116" spans="1:9" ht="16.5" thickBot="1">
      <c r="A116" s="132"/>
      <c r="B116" s="140"/>
      <c r="C116" s="140" t="s">
        <v>389</v>
      </c>
      <c r="D116" s="141"/>
      <c r="E116" s="141"/>
      <c r="F116" s="140"/>
      <c r="G116" s="141" t="s">
        <v>40</v>
      </c>
      <c r="H116" s="141"/>
      <c r="I116" s="142"/>
    </row>
    <row r="117" spans="1:9">
      <c r="A117" s="132"/>
      <c r="B117" s="143" t="s">
        <v>37</v>
      </c>
      <c r="C117" s="144" t="s">
        <v>38</v>
      </c>
      <c r="D117" s="145" t="s">
        <v>2</v>
      </c>
      <c r="E117" s="146" t="s">
        <v>241</v>
      </c>
      <c r="F117" s="147" t="s">
        <v>37</v>
      </c>
      <c r="G117" s="145" t="s">
        <v>38</v>
      </c>
      <c r="H117" s="145" t="s">
        <v>2</v>
      </c>
    </row>
    <row r="118" spans="1:9">
      <c r="A118" s="132"/>
      <c r="B118" s="97" t="s">
        <v>258</v>
      </c>
      <c r="C118" s="97" t="s">
        <v>259</v>
      </c>
      <c r="D118" s="219">
        <v>3</v>
      </c>
      <c r="E118" s="81" t="s">
        <v>44</v>
      </c>
      <c r="F118" s="148"/>
      <c r="G118" s="148"/>
      <c r="H118" s="149"/>
    </row>
    <row r="119" spans="1:9">
      <c r="A119" s="132"/>
      <c r="B119" s="97" t="s">
        <v>169</v>
      </c>
      <c r="C119" s="97" t="s">
        <v>252</v>
      </c>
      <c r="D119" s="219">
        <v>6</v>
      </c>
      <c r="E119" s="81" t="s">
        <v>44</v>
      </c>
      <c r="F119" s="148"/>
      <c r="G119" s="148"/>
      <c r="H119" s="149"/>
    </row>
    <row r="120" spans="1:9">
      <c r="A120" s="132"/>
      <c r="B120" s="97" t="s">
        <v>256</v>
      </c>
      <c r="C120" s="97" t="s">
        <v>257</v>
      </c>
      <c r="D120" s="219">
        <v>3</v>
      </c>
      <c r="E120" s="81" t="s">
        <v>44</v>
      </c>
      <c r="F120" s="148"/>
      <c r="G120" s="148"/>
      <c r="H120" s="149"/>
    </row>
    <row r="121" spans="1:9">
      <c r="A121" s="132"/>
      <c r="B121" s="97" t="s">
        <v>162</v>
      </c>
      <c r="C121" s="97" t="s">
        <v>253</v>
      </c>
      <c r="D121" s="219">
        <v>3</v>
      </c>
      <c r="E121" s="81" t="s">
        <v>44</v>
      </c>
      <c r="F121" s="148"/>
      <c r="G121" s="148"/>
      <c r="H121" s="149"/>
    </row>
    <row r="122" spans="1:9">
      <c r="A122" s="132"/>
      <c r="B122" s="97" t="s">
        <v>262</v>
      </c>
      <c r="C122" s="97" t="s">
        <v>263</v>
      </c>
      <c r="D122" s="219">
        <v>6</v>
      </c>
      <c r="E122" s="81" t="s">
        <v>44</v>
      </c>
      <c r="F122" s="148"/>
      <c r="G122" s="148"/>
      <c r="H122" s="149"/>
    </row>
    <row r="123" spans="1:9">
      <c r="A123" s="132"/>
      <c r="B123" s="97" t="s">
        <v>260</v>
      </c>
      <c r="C123" s="97" t="s">
        <v>261</v>
      </c>
      <c r="D123" s="219">
        <v>6</v>
      </c>
      <c r="E123" s="53" t="s">
        <v>44</v>
      </c>
      <c r="F123" s="148"/>
      <c r="G123" s="148"/>
      <c r="H123" s="149"/>
    </row>
    <row r="124" spans="1:9">
      <c r="A124" s="132"/>
      <c r="B124" s="97" t="s">
        <v>264</v>
      </c>
      <c r="C124" s="97" t="s">
        <v>265</v>
      </c>
      <c r="D124" s="219">
        <v>3</v>
      </c>
      <c r="E124" s="53" t="s">
        <v>44</v>
      </c>
      <c r="F124" s="148"/>
      <c r="G124" s="148"/>
      <c r="H124" s="149"/>
    </row>
    <row r="125" spans="1:9">
      <c r="A125" s="132"/>
      <c r="B125" s="97" t="s">
        <v>13</v>
      </c>
      <c r="C125" s="97" t="s">
        <v>14</v>
      </c>
      <c r="D125" s="219">
        <v>3</v>
      </c>
      <c r="E125" s="53" t="s">
        <v>44</v>
      </c>
      <c r="F125" s="148"/>
      <c r="G125" s="148"/>
      <c r="H125" s="149"/>
    </row>
    <row r="126" spans="1:9">
      <c r="A126" s="132"/>
      <c r="B126" s="97" t="s">
        <v>18</v>
      </c>
      <c r="C126" s="97" t="s">
        <v>255</v>
      </c>
      <c r="D126" s="219">
        <v>3</v>
      </c>
      <c r="E126" s="53" t="s">
        <v>44</v>
      </c>
      <c r="F126" s="148"/>
      <c r="G126" s="148"/>
      <c r="H126" s="149"/>
    </row>
    <row r="127" spans="1:9">
      <c r="A127" s="132"/>
      <c r="B127" s="325" t="s">
        <v>266</v>
      </c>
      <c r="C127" s="326"/>
      <c r="D127" s="326"/>
      <c r="E127" s="327"/>
      <c r="F127" s="148"/>
      <c r="G127" s="148"/>
      <c r="H127" s="149"/>
    </row>
    <row r="128" spans="1:9">
      <c r="A128" s="132"/>
      <c r="B128" s="206" t="s">
        <v>273</v>
      </c>
      <c r="C128" s="206" t="s">
        <v>270</v>
      </c>
      <c r="D128" s="207">
        <v>6</v>
      </c>
      <c r="E128" s="13"/>
      <c r="F128" s="148"/>
      <c r="G128" s="148"/>
      <c r="H128" s="149"/>
    </row>
    <row r="129" spans="1:9">
      <c r="A129" s="132"/>
      <c r="B129" s="206" t="s">
        <v>272</v>
      </c>
      <c r="C129" s="206" t="s">
        <v>271</v>
      </c>
      <c r="D129" s="207">
        <v>6</v>
      </c>
      <c r="E129" s="13"/>
      <c r="F129" s="148"/>
      <c r="G129" s="148"/>
      <c r="H129" s="149"/>
    </row>
    <row r="130" spans="1:9">
      <c r="A130" s="132"/>
      <c r="B130" s="208" t="s">
        <v>280</v>
      </c>
      <c r="C130" s="208" t="s">
        <v>274</v>
      </c>
      <c r="D130" s="209">
        <v>6</v>
      </c>
      <c r="E130" s="13"/>
      <c r="F130" s="148"/>
      <c r="G130" s="148"/>
      <c r="H130" s="149"/>
    </row>
    <row r="131" spans="1:9">
      <c r="A131" s="132"/>
      <c r="B131" s="208" t="s">
        <v>352</v>
      </c>
      <c r="C131" s="208" t="s">
        <v>353</v>
      </c>
      <c r="D131" s="209">
        <v>6</v>
      </c>
      <c r="E131" s="13"/>
      <c r="F131" s="148"/>
      <c r="G131" s="148"/>
      <c r="H131" s="149"/>
    </row>
    <row r="132" spans="1:9">
      <c r="A132" s="132"/>
      <c r="B132" s="210" t="s">
        <v>170</v>
      </c>
      <c r="C132" s="210" t="s">
        <v>276</v>
      </c>
      <c r="D132" s="211">
        <v>6</v>
      </c>
      <c r="E132" s="13"/>
      <c r="F132" s="148"/>
      <c r="G132" s="148"/>
      <c r="H132" s="149"/>
    </row>
    <row r="133" spans="1:9">
      <c r="A133" s="132"/>
      <c r="B133" s="210" t="s">
        <v>278</v>
      </c>
      <c r="C133" s="210" t="s">
        <v>277</v>
      </c>
      <c r="D133" s="211">
        <v>6</v>
      </c>
      <c r="E133" s="13"/>
      <c r="F133" s="148"/>
      <c r="G133" s="148"/>
      <c r="H133" s="149"/>
    </row>
    <row r="134" spans="1:9">
      <c r="A134" s="132"/>
      <c r="B134" s="208" t="s">
        <v>166</v>
      </c>
      <c r="C134" s="208" t="s">
        <v>254</v>
      </c>
      <c r="D134" s="209">
        <v>3</v>
      </c>
      <c r="E134" s="13"/>
      <c r="F134" s="148"/>
      <c r="G134" s="148"/>
      <c r="H134" s="149"/>
    </row>
    <row r="135" spans="1:9">
      <c r="A135" s="132"/>
      <c r="B135" s="208" t="s">
        <v>517</v>
      </c>
      <c r="C135" s="208" t="s">
        <v>518</v>
      </c>
      <c r="D135" s="209">
        <v>6</v>
      </c>
      <c r="E135" s="13"/>
      <c r="F135" s="148"/>
      <c r="G135" s="148"/>
      <c r="H135" s="149"/>
    </row>
    <row r="136" spans="1:9">
      <c r="A136" s="132"/>
      <c r="C136" s="151" t="s">
        <v>15</v>
      </c>
      <c r="D136" s="152">
        <f>SUMIFS(D118:D135,H118:H135,"",E118:E135,"Yes")+SUM(H118:H135)</f>
        <v>36</v>
      </c>
      <c r="E136" s="137"/>
      <c r="I136" s="133"/>
    </row>
    <row r="137" spans="1:9">
      <c r="A137" s="132"/>
    </row>
    <row r="138" spans="1:9">
      <c r="A138" s="132"/>
      <c r="B138"/>
      <c r="C138"/>
      <c r="D138"/>
      <c r="E138"/>
      <c r="F138"/>
      <c r="G138"/>
      <c r="H138"/>
    </row>
    <row r="139" spans="1:9">
      <c r="A139" s="132"/>
      <c r="B139"/>
      <c r="C139"/>
      <c r="D139"/>
      <c r="E139"/>
      <c r="F139"/>
      <c r="G139"/>
      <c r="H139"/>
    </row>
    <row r="140" spans="1:9">
      <c r="A140" s="132"/>
      <c r="B140"/>
      <c r="C140"/>
      <c r="D140"/>
      <c r="E140"/>
      <c r="F140"/>
      <c r="G140"/>
      <c r="H140"/>
    </row>
    <row r="141" spans="1:9">
      <c r="A141" s="132"/>
      <c r="B141"/>
      <c r="C141"/>
      <c r="D141"/>
      <c r="E141"/>
      <c r="F141"/>
      <c r="G141"/>
      <c r="H141"/>
    </row>
    <row r="142" spans="1:9" ht="16.5" thickBot="1">
      <c r="A142" s="132"/>
      <c r="B142" s="253"/>
      <c r="C142" s="171" t="s">
        <v>391</v>
      </c>
      <c r="D142" s="172"/>
      <c r="G142"/>
      <c r="H142"/>
    </row>
    <row r="143" spans="1:9">
      <c r="A143" s="132"/>
      <c r="B143" s="153" t="s">
        <v>392</v>
      </c>
    </row>
    <row r="144" spans="1:9">
      <c r="A144" s="132"/>
      <c r="B144" s="154" t="s">
        <v>23</v>
      </c>
      <c r="C144" s="155" t="s">
        <v>24</v>
      </c>
      <c r="D144" s="156"/>
      <c r="E144" s="157"/>
      <c r="G144" s="158"/>
      <c r="H144" s="159"/>
    </row>
    <row r="145" spans="1:8" ht="16.5" thickBot="1">
      <c r="A145" s="132"/>
      <c r="B145" s="160" t="s">
        <v>49</v>
      </c>
      <c r="C145" s="161" t="s">
        <v>42</v>
      </c>
      <c r="D145" s="162"/>
      <c r="E145" s="163"/>
      <c r="F145" s="164"/>
      <c r="G145" s="141" t="s">
        <v>22</v>
      </c>
      <c r="H145" s="141"/>
    </row>
    <row r="146" spans="1:8">
      <c r="A146" s="132" t="s">
        <v>393</v>
      </c>
      <c r="B146" s="143" t="s">
        <v>37</v>
      </c>
      <c r="C146" s="165" t="s">
        <v>38</v>
      </c>
      <c r="D146" s="192" t="s">
        <v>2</v>
      </c>
      <c r="E146" s="187" t="s">
        <v>48</v>
      </c>
      <c r="F146" s="143" t="s">
        <v>37</v>
      </c>
      <c r="G146" s="166" t="s">
        <v>38</v>
      </c>
      <c r="H146" s="145" t="s">
        <v>2</v>
      </c>
    </row>
    <row r="147" spans="1:8">
      <c r="A147" s="132"/>
      <c r="B147" s="167"/>
      <c r="C147" s="167"/>
      <c r="D147" s="150"/>
      <c r="E147" s="168"/>
      <c r="F147" s="150"/>
      <c r="G147" s="150"/>
      <c r="H147" s="150"/>
    </row>
    <row r="148" spans="1:8">
      <c r="A148" s="132"/>
      <c r="B148" s="167"/>
      <c r="C148" s="167"/>
      <c r="D148" s="150"/>
      <c r="E148" s="168"/>
      <c r="F148" s="150"/>
      <c r="G148" s="150"/>
      <c r="H148" s="150"/>
    </row>
    <row r="149" spans="1:8">
      <c r="A149" s="132" t="s">
        <v>394</v>
      </c>
      <c r="B149" s="169"/>
      <c r="C149" s="151" t="s">
        <v>15</v>
      </c>
      <c r="D149" s="152">
        <f>SUMIFS(D146:D148,H146:H148,"",E146:E148,"Yes")+SUM(H146:H148)</f>
        <v>0</v>
      </c>
      <c r="E149" s="137"/>
      <c r="F149" s="135"/>
      <c r="G149" s="135"/>
      <c r="H149" s="170"/>
    </row>
    <row r="150" spans="1:8">
      <c r="A150" s="132"/>
      <c r="B150" s="55" t="s">
        <v>247</v>
      </c>
    </row>
    <row r="151" spans="1:8">
      <c r="A151" s="132"/>
      <c r="B151" s="153" t="s">
        <v>283</v>
      </c>
      <c r="C151" s="153"/>
      <c r="D151" s="220"/>
      <c r="E151" s="220"/>
      <c r="F151" s="153"/>
      <c r="G151" s="153"/>
      <c r="H151" s="220"/>
    </row>
    <row r="152" spans="1:8">
      <c r="A152" s="132"/>
      <c r="B152" s="153" t="s">
        <v>284</v>
      </c>
      <c r="C152" s="153"/>
      <c r="D152" s="220"/>
      <c r="E152" s="220"/>
      <c r="F152" s="153"/>
      <c r="G152" s="153"/>
      <c r="H152" s="220"/>
    </row>
    <row r="153" spans="1:8">
      <c r="A153" s="132"/>
      <c r="B153" s="153"/>
      <c r="C153" s="153"/>
      <c r="D153" s="220"/>
      <c r="E153" s="220"/>
      <c r="F153" s="153"/>
      <c r="G153" s="153"/>
      <c r="H153" s="220"/>
    </row>
    <row r="154" spans="1:8" ht="16.5" thickBot="1">
      <c r="A154" s="132"/>
      <c r="B154" s="298" t="s">
        <v>378</v>
      </c>
      <c r="C154" s="298"/>
      <c r="D154" s="298"/>
      <c r="E154" s="172"/>
      <c r="F154" s="298" t="s">
        <v>282</v>
      </c>
      <c r="G154" s="298"/>
      <c r="H154" s="298"/>
    </row>
    <row r="155" spans="1:8">
      <c r="A155" s="132"/>
      <c r="B155" s="143" t="s">
        <v>37</v>
      </c>
      <c r="C155" s="165" t="s">
        <v>38</v>
      </c>
      <c r="D155" s="192" t="s">
        <v>2</v>
      </c>
      <c r="E155" s="185" t="s">
        <v>48</v>
      </c>
      <c r="F155" s="143" t="s">
        <v>37</v>
      </c>
      <c r="G155" s="143" t="s">
        <v>38</v>
      </c>
      <c r="H155" s="192" t="s">
        <v>2</v>
      </c>
    </row>
    <row r="156" spans="1:8">
      <c r="A156" s="132"/>
      <c r="B156" s="183" t="str">
        <f t="shared" ref="B156:B171" si="2">VLOOKUP(C156,math_elective_list,2,0)</f>
        <v/>
      </c>
      <c r="C156" s="167" t="s">
        <v>346</v>
      </c>
      <c r="D156" s="214" t="str">
        <f t="shared" ref="D156:D171" si="3">VLOOKUP(C156,math_elective_list,3,0)</f>
        <v/>
      </c>
      <c r="E156" s="186"/>
      <c r="F156" s="150"/>
      <c r="G156" s="150"/>
      <c r="H156" s="150"/>
    </row>
    <row r="157" spans="1:8">
      <c r="A157" s="132"/>
      <c r="B157" s="183" t="str">
        <f t="shared" si="2"/>
        <v/>
      </c>
      <c r="C157" s="167" t="s">
        <v>6</v>
      </c>
      <c r="D157" s="214" t="str">
        <f t="shared" si="3"/>
        <v/>
      </c>
      <c r="E157" s="186"/>
      <c r="F157" s="150"/>
      <c r="G157" s="150"/>
      <c r="H157" s="150"/>
    </row>
    <row r="158" spans="1:8">
      <c r="A158" s="132"/>
      <c r="B158" s="183" t="str">
        <f t="shared" si="2"/>
        <v/>
      </c>
      <c r="C158" s="167" t="s">
        <v>6</v>
      </c>
      <c r="D158" s="214" t="str">
        <f t="shared" si="3"/>
        <v/>
      </c>
      <c r="E158" s="186"/>
      <c r="F158" s="150"/>
      <c r="G158" s="150"/>
      <c r="H158" s="150"/>
    </row>
    <row r="159" spans="1:8">
      <c r="A159" s="132"/>
      <c r="B159" s="183" t="str">
        <f t="shared" si="2"/>
        <v/>
      </c>
      <c r="C159" s="167" t="s">
        <v>6</v>
      </c>
      <c r="D159" s="214" t="str">
        <f t="shared" si="3"/>
        <v/>
      </c>
      <c r="E159" s="186"/>
      <c r="F159" s="150"/>
      <c r="G159" s="150"/>
      <c r="H159" s="150"/>
    </row>
    <row r="160" spans="1:8">
      <c r="A160" s="132"/>
      <c r="B160" s="183" t="str">
        <f t="shared" si="2"/>
        <v/>
      </c>
      <c r="C160" s="167" t="s">
        <v>6</v>
      </c>
      <c r="D160" s="214" t="str">
        <f t="shared" si="3"/>
        <v/>
      </c>
      <c r="E160" s="186"/>
      <c r="F160" s="150"/>
      <c r="G160" s="150"/>
      <c r="H160" s="150"/>
    </row>
    <row r="161" spans="1:8">
      <c r="A161" s="132"/>
      <c r="B161" s="183" t="str">
        <f t="shared" si="2"/>
        <v/>
      </c>
      <c r="C161" s="167" t="s">
        <v>6</v>
      </c>
      <c r="D161" s="214" t="str">
        <f t="shared" si="3"/>
        <v/>
      </c>
      <c r="E161" s="186"/>
      <c r="F161" s="150"/>
      <c r="G161" s="150"/>
      <c r="H161" s="150"/>
    </row>
    <row r="162" spans="1:8">
      <c r="A162" s="132"/>
      <c r="B162" s="183" t="str">
        <f t="shared" si="2"/>
        <v/>
      </c>
      <c r="C162" s="167" t="s">
        <v>6</v>
      </c>
      <c r="D162" s="214" t="str">
        <f t="shared" si="3"/>
        <v/>
      </c>
      <c r="E162" s="186"/>
      <c r="F162" s="150"/>
      <c r="G162" s="150"/>
      <c r="H162" s="150"/>
    </row>
    <row r="163" spans="1:8">
      <c r="A163" s="132"/>
      <c r="B163" s="183" t="str">
        <f t="shared" si="2"/>
        <v/>
      </c>
      <c r="C163" s="167" t="s">
        <v>6</v>
      </c>
      <c r="D163" s="214" t="str">
        <f t="shared" si="3"/>
        <v/>
      </c>
      <c r="E163" s="186"/>
      <c r="F163" s="150"/>
      <c r="G163" s="150"/>
      <c r="H163" s="150"/>
    </row>
    <row r="164" spans="1:8">
      <c r="A164" s="132"/>
      <c r="B164" s="183" t="str">
        <f t="shared" si="2"/>
        <v/>
      </c>
      <c r="C164" s="167" t="s">
        <v>6</v>
      </c>
      <c r="D164" s="214" t="str">
        <f t="shared" si="3"/>
        <v/>
      </c>
      <c r="E164" s="186"/>
      <c r="F164" s="150"/>
      <c r="G164" s="150"/>
      <c r="H164" s="150"/>
    </row>
    <row r="165" spans="1:8">
      <c r="A165" s="132"/>
      <c r="B165" s="183" t="str">
        <f t="shared" si="2"/>
        <v/>
      </c>
      <c r="C165" s="167" t="s">
        <v>6</v>
      </c>
      <c r="D165" s="214" t="str">
        <f t="shared" si="3"/>
        <v/>
      </c>
      <c r="E165" s="186"/>
      <c r="F165" s="150"/>
      <c r="G165" s="150"/>
      <c r="H165" s="150"/>
    </row>
    <row r="166" spans="1:8">
      <c r="A166" s="132"/>
      <c r="B166" s="183" t="str">
        <f t="shared" si="2"/>
        <v/>
      </c>
      <c r="C166" s="167" t="s">
        <v>6</v>
      </c>
      <c r="D166" s="214" t="str">
        <f t="shared" si="3"/>
        <v/>
      </c>
      <c r="E166" s="186"/>
      <c r="F166" s="150"/>
      <c r="G166" s="150"/>
      <c r="H166" s="150"/>
    </row>
    <row r="167" spans="1:8">
      <c r="A167" s="132"/>
      <c r="B167" s="183" t="str">
        <f t="shared" si="2"/>
        <v/>
      </c>
      <c r="C167" s="167" t="s">
        <v>6</v>
      </c>
      <c r="D167" s="214" t="str">
        <f t="shared" si="3"/>
        <v/>
      </c>
      <c r="E167" s="186"/>
      <c r="F167" s="150"/>
      <c r="G167" s="150"/>
      <c r="H167" s="150"/>
    </row>
    <row r="168" spans="1:8">
      <c r="A168" s="132"/>
      <c r="B168" s="183" t="str">
        <f t="shared" si="2"/>
        <v/>
      </c>
      <c r="C168" s="167" t="s">
        <v>6</v>
      </c>
      <c r="D168" s="214" t="str">
        <f t="shared" si="3"/>
        <v/>
      </c>
      <c r="E168" s="186"/>
      <c r="F168" s="150"/>
      <c r="G168" s="150"/>
      <c r="H168" s="150"/>
    </row>
    <row r="169" spans="1:8">
      <c r="A169" s="132"/>
      <c r="B169" s="183" t="str">
        <f t="shared" si="2"/>
        <v/>
      </c>
      <c r="C169" s="167" t="s">
        <v>6</v>
      </c>
      <c r="D169" s="214" t="str">
        <f t="shared" si="3"/>
        <v/>
      </c>
      <c r="E169" s="186"/>
      <c r="F169" s="150"/>
      <c r="G169" s="150"/>
      <c r="H169" s="150"/>
    </row>
    <row r="170" spans="1:8">
      <c r="A170" s="132"/>
      <c r="B170" s="183" t="str">
        <f t="shared" si="2"/>
        <v/>
      </c>
      <c r="C170" s="167" t="s">
        <v>6</v>
      </c>
      <c r="D170" s="214" t="str">
        <f t="shared" si="3"/>
        <v/>
      </c>
      <c r="E170" s="186"/>
      <c r="F170" s="150"/>
      <c r="G170" s="150"/>
      <c r="H170" s="150"/>
    </row>
    <row r="171" spans="1:8">
      <c r="A171" s="132"/>
      <c r="B171" s="183" t="str">
        <f t="shared" si="2"/>
        <v/>
      </c>
      <c r="C171" s="167" t="s">
        <v>6</v>
      </c>
      <c r="D171" s="214" t="str">
        <f t="shared" si="3"/>
        <v/>
      </c>
      <c r="E171" s="186"/>
      <c r="F171" s="150"/>
      <c r="G171" s="150"/>
      <c r="H171" s="150"/>
    </row>
    <row r="172" spans="1:8">
      <c r="A172" s="132"/>
      <c r="B172" s="299" t="s">
        <v>285</v>
      </c>
      <c r="C172" s="300"/>
      <c r="D172" s="213">
        <f>SUM(D156:D171)</f>
        <v>0</v>
      </c>
      <c r="E172" s="216"/>
      <c r="F172" s="299" t="s">
        <v>286</v>
      </c>
      <c r="G172" s="300"/>
      <c r="H172" s="215">
        <f>SUM(H156:H171)</f>
        <v>0</v>
      </c>
    </row>
    <row r="173" spans="1:8">
      <c r="A173" s="132"/>
      <c r="C173" s="212" t="s">
        <v>287</v>
      </c>
      <c r="D173" s="152">
        <f>SUM(D172,H172)</f>
        <v>0</v>
      </c>
    </row>
    <row r="174" spans="1:8" s="25" customFormat="1" ht="15">
      <c r="H174" s="201"/>
    </row>
    <row r="175" spans="1:8" s="25" customFormat="1">
      <c r="A175" s="132"/>
      <c r="B175" s="132"/>
      <c r="C175" s="132"/>
      <c r="E175" s="133"/>
      <c r="F175" s="132"/>
      <c r="G175" s="132"/>
      <c r="H175" s="133"/>
    </row>
    <row r="176" spans="1:8" ht="16.5" thickBot="1">
      <c r="A176" s="132"/>
      <c r="B176" s="164"/>
      <c r="C176" s="173" t="s">
        <v>347</v>
      </c>
      <c r="D176" s="141"/>
      <c r="E176" s="174"/>
      <c r="F176" s="164"/>
      <c r="G176" s="172"/>
    </row>
    <row r="177" spans="1:7">
      <c r="A177" s="132"/>
      <c r="B177" s="304" t="s">
        <v>242</v>
      </c>
      <c r="C177" s="305"/>
      <c r="D177" s="175">
        <v>12</v>
      </c>
      <c r="E177" s="306"/>
      <c r="F177" s="307"/>
      <c r="G177" s="176"/>
    </row>
    <row r="178" spans="1:7">
      <c r="A178" s="132"/>
      <c r="C178" s="177" t="s">
        <v>3</v>
      </c>
      <c r="D178" s="178">
        <f>SUM(D177)</f>
        <v>12</v>
      </c>
      <c r="G178" s="133"/>
    </row>
    <row r="179" spans="1:7">
      <c r="A179" s="132"/>
    </row>
    <row r="180" spans="1:7">
      <c r="A180" s="132"/>
    </row>
    <row r="181" spans="1:7">
      <c r="A181" s="132"/>
      <c r="B181" s="308" t="s">
        <v>243</v>
      </c>
      <c r="C181" s="308"/>
      <c r="D181" s="180">
        <f>SUM(D178,D173,D149,D136)</f>
        <v>48</v>
      </c>
    </row>
    <row r="182" spans="1:7">
      <c r="A182" s="132"/>
      <c r="B182" s="25"/>
      <c r="C182" s="25"/>
      <c r="D182" s="25"/>
    </row>
    <row r="183" spans="1:7">
      <c r="A183" s="132"/>
      <c r="B183" s="251" t="s">
        <v>385</v>
      </c>
      <c r="C183" s="247"/>
      <c r="D183" s="247"/>
      <c r="E183" s="248"/>
      <c r="F183" s="249"/>
      <c r="G183" s="249"/>
    </row>
    <row r="184" spans="1:7">
      <c r="A184" s="132"/>
      <c r="B184" s="246"/>
      <c r="C184" s="247"/>
      <c r="D184" s="247"/>
      <c r="E184" s="248"/>
      <c r="F184" s="249"/>
      <c r="G184" s="249"/>
    </row>
    <row r="185" spans="1:7">
      <c r="A185" s="132"/>
      <c r="B185" s="246" t="s">
        <v>386</v>
      </c>
      <c r="C185" s="247"/>
      <c r="D185" s="247"/>
      <c r="E185" s="248"/>
      <c r="F185" s="249"/>
      <c r="G185" s="249"/>
    </row>
    <row r="186" spans="1:7">
      <c r="A186" s="132"/>
      <c r="B186" s="250" t="s">
        <v>387</v>
      </c>
      <c r="C186" s="247"/>
      <c r="D186" s="247"/>
      <c r="E186" s="248"/>
      <c r="F186" s="249"/>
      <c r="G186" s="249"/>
    </row>
    <row r="187" spans="1:7">
      <c r="A187" s="132"/>
      <c r="B187" s="250" t="s">
        <v>388</v>
      </c>
      <c r="C187" s="247"/>
      <c r="D187" s="247"/>
      <c r="E187" s="248"/>
      <c r="F187" s="249"/>
      <c r="G187" s="249"/>
    </row>
    <row r="188" spans="1:7">
      <c r="A188" s="132"/>
      <c r="B188" s="245"/>
      <c r="C188" s="25"/>
      <c r="D188" s="25"/>
    </row>
    <row r="189" spans="1:7">
      <c r="A189" s="132"/>
      <c r="B189" s="25"/>
      <c r="C189" s="25"/>
      <c r="D189" s="25"/>
    </row>
    <row r="190" spans="1:7" s="3" customFormat="1" ht="15">
      <c r="A190" s="33"/>
      <c r="B190" s="14" t="s">
        <v>348</v>
      </c>
      <c r="C190" s="14"/>
      <c r="D190" s="16"/>
      <c r="E190" s="34"/>
      <c r="G190" s="11"/>
    </row>
    <row r="191" spans="1:7" s="3" customFormat="1" ht="15">
      <c r="A191" s="33"/>
      <c r="B191" s="27" t="s">
        <v>0</v>
      </c>
      <c r="C191" s="27" t="s">
        <v>1</v>
      </c>
      <c r="D191" s="29" t="s">
        <v>2</v>
      </c>
      <c r="E191" s="15"/>
      <c r="G191" s="11"/>
    </row>
    <row r="192" spans="1:7" s="3" customFormat="1" ht="15">
      <c r="A192" s="33"/>
      <c r="B192" s="8"/>
      <c r="C192" s="8"/>
      <c r="D192" s="13"/>
      <c r="E192" s="37"/>
      <c r="G192" s="11"/>
    </row>
    <row r="193" spans="1:7" s="3" customFormat="1" ht="15">
      <c r="A193" s="33"/>
      <c r="B193" s="8"/>
      <c r="C193" s="8"/>
      <c r="D193" s="13"/>
      <c r="E193" s="37"/>
      <c r="G193" s="11"/>
    </row>
    <row r="194" spans="1:7" s="3" customFormat="1" ht="15">
      <c r="A194" s="33"/>
      <c r="B194" s="8"/>
      <c r="C194" s="8"/>
      <c r="D194" s="13"/>
      <c r="E194" s="37"/>
      <c r="G194" s="11"/>
    </row>
    <row r="195" spans="1:7" s="3" customFormat="1" ht="15">
      <c r="A195" s="33"/>
      <c r="B195" s="8"/>
      <c r="C195" s="8"/>
      <c r="D195" s="13"/>
      <c r="E195" s="37"/>
      <c r="G195" s="11"/>
    </row>
    <row r="196" spans="1:7" s="3" customFormat="1" ht="15">
      <c r="A196" s="33"/>
      <c r="B196" s="8"/>
      <c r="C196" s="8"/>
      <c r="D196" s="13"/>
      <c r="E196" s="37"/>
      <c r="G196" s="11"/>
    </row>
    <row r="197" spans="1:7" s="3" customFormat="1" ht="15">
      <c r="A197" s="33"/>
      <c r="B197" s="8"/>
      <c r="C197" s="8"/>
      <c r="D197" s="13"/>
      <c r="E197" s="37"/>
      <c r="G197" s="11"/>
    </row>
    <row r="198" spans="1:7" s="3" customFormat="1" ht="15">
      <c r="A198" s="33"/>
      <c r="B198" s="8"/>
      <c r="C198" s="8"/>
      <c r="D198" s="13"/>
      <c r="E198" s="37"/>
      <c r="G198" s="11"/>
    </row>
    <row r="199" spans="1:7" s="3" customFormat="1" ht="15">
      <c r="A199" s="33"/>
      <c r="B199" s="8"/>
      <c r="C199" s="8"/>
      <c r="D199" s="13"/>
      <c r="E199" s="37"/>
      <c r="G199" s="11"/>
    </row>
    <row r="200" spans="1:7" s="3" customFormat="1" ht="15">
      <c r="A200" s="33"/>
      <c r="B200" s="7"/>
      <c r="C200" s="7"/>
      <c r="D200" s="12"/>
      <c r="E200" s="37"/>
      <c r="G200" s="11"/>
    </row>
    <row r="201" spans="1:7" s="3" customFormat="1" ht="15">
      <c r="A201" s="33"/>
      <c r="B201" s="7"/>
      <c r="C201" s="7"/>
      <c r="D201" s="12"/>
      <c r="E201" s="37"/>
      <c r="G201" s="11"/>
    </row>
    <row r="202" spans="1:7" s="3" customFormat="1" ht="15">
      <c r="A202" s="33"/>
      <c r="B202" s="35"/>
      <c r="C202" s="36" t="s">
        <v>3</v>
      </c>
      <c r="D202" s="30">
        <f>SUM(D192:D201)</f>
        <v>0</v>
      </c>
      <c r="E202" s="38"/>
      <c r="G202" s="11"/>
    </row>
    <row r="203" spans="1:7" s="3" customFormat="1" ht="15">
      <c r="A203" s="33"/>
      <c r="D203" s="11"/>
      <c r="G203" s="11"/>
    </row>
    <row r="204" spans="1:7" s="3" customFormat="1">
      <c r="A204" s="33"/>
      <c r="B204" s="308" t="s">
        <v>349</v>
      </c>
      <c r="C204" s="308"/>
      <c r="D204" s="180">
        <f>SUM(D202,D181)</f>
        <v>48</v>
      </c>
      <c r="E204" s="25"/>
      <c r="G204" s="11"/>
    </row>
    <row r="205" spans="1:7" customFormat="1" ht="15"/>
    <row r="206" spans="1:7" s="25" customFormat="1" ht="15"/>
    <row r="207" spans="1:7" s="25" customFormat="1">
      <c r="B207" s="309" t="s">
        <v>384</v>
      </c>
      <c r="C207" s="309"/>
      <c r="D207" s="309"/>
    </row>
    <row r="208" spans="1:7" s="25" customFormat="1" ht="15">
      <c r="B208" s="310"/>
      <c r="C208" s="310"/>
      <c r="D208" s="310"/>
      <c r="E208" s="310"/>
      <c r="F208" s="310"/>
      <c r="G208" s="310"/>
    </row>
    <row r="209" spans="1:9" s="25" customFormat="1" ht="15">
      <c r="B209" s="310"/>
      <c r="C209" s="310"/>
      <c r="D209" s="310"/>
      <c r="E209" s="310"/>
      <c r="F209" s="310"/>
      <c r="G209" s="310"/>
    </row>
    <row r="210" spans="1:9" s="25" customFormat="1" ht="15">
      <c r="B210" s="310"/>
      <c r="C210" s="310"/>
      <c r="D210" s="310"/>
      <c r="E210" s="310"/>
      <c r="F210" s="310"/>
      <c r="G210" s="310"/>
    </row>
    <row r="211" spans="1:9" s="25" customFormat="1" ht="15">
      <c r="B211" s="310"/>
      <c r="C211" s="310"/>
      <c r="D211" s="310"/>
      <c r="E211" s="310"/>
      <c r="F211" s="310"/>
      <c r="G211" s="310"/>
    </row>
    <row r="212" spans="1:9" s="25" customFormat="1" ht="15">
      <c r="B212" s="310"/>
      <c r="C212" s="310"/>
      <c r="D212" s="310"/>
      <c r="E212" s="310"/>
      <c r="F212" s="310"/>
      <c r="G212" s="310"/>
    </row>
    <row r="213" spans="1:9">
      <c r="A213" s="181" t="s">
        <v>8</v>
      </c>
      <c r="D213" s="132"/>
      <c r="E213" s="132"/>
    </row>
    <row r="214" spans="1:9">
      <c r="A214" s="193">
        <v>2015</v>
      </c>
    </row>
    <row r="215" spans="1:9">
      <c r="A215" s="132"/>
      <c r="B215" s="134" t="s">
        <v>354</v>
      </c>
    </row>
    <row r="216" spans="1:9">
      <c r="A216" s="132"/>
      <c r="B216" s="135" t="s">
        <v>246</v>
      </c>
      <c r="D216" s="136"/>
      <c r="E216" s="137"/>
      <c r="I216" s="133"/>
    </row>
    <row r="217" spans="1:9">
      <c r="A217" s="132"/>
    </row>
    <row r="218" spans="1:9">
      <c r="A218" s="132"/>
      <c r="B218" s="138" t="s">
        <v>16</v>
      </c>
      <c r="C218" s="324"/>
      <c r="D218" s="324"/>
      <c r="E218" s="324"/>
      <c r="F218" s="324"/>
      <c r="G218" s="324"/>
      <c r="H218" s="324"/>
      <c r="I218" s="324"/>
    </row>
    <row r="219" spans="1:9">
      <c r="A219" s="132"/>
      <c r="B219" s="138" t="s">
        <v>17</v>
      </c>
      <c r="C219" s="324"/>
      <c r="D219" s="324"/>
      <c r="E219" s="324"/>
      <c r="F219" s="324"/>
      <c r="G219" s="324"/>
      <c r="H219" s="324"/>
      <c r="I219" s="324"/>
    </row>
    <row r="220" spans="1:9">
      <c r="A220" s="132"/>
      <c r="B220" s="138" t="s">
        <v>4</v>
      </c>
      <c r="C220" s="324"/>
      <c r="D220" s="324"/>
      <c r="E220" s="324"/>
      <c r="F220" s="324"/>
      <c r="G220" s="324"/>
      <c r="H220" s="324"/>
      <c r="I220" s="324"/>
    </row>
    <row r="221" spans="1:9">
      <c r="A221" s="132"/>
      <c r="B221" s="138" t="s">
        <v>5</v>
      </c>
      <c r="C221" s="324"/>
      <c r="D221" s="324"/>
      <c r="E221" s="324"/>
      <c r="F221" s="324"/>
      <c r="G221" s="324"/>
      <c r="H221" s="324"/>
      <c r="I221" s="324"/>
    </row>
    <row r="222" spans="1:9">
      <c r="A222" s="132"/>
      <c r="B222" s="138" t="s">
        <v>249</v>
      </c>
      <c r="C222" s="317" t="s">
        <v>11</v>
      </c>
      <c r="D222" s="317"/>
      <c r="E222" s="317"/>
      <c r="F222" s="317"/>
      <c r="G222" s="317"/>
      <c r="H222" s="317"/>
      <c r="I222" s="317"/>
    </row>
    <row r="223" spans="1:9">
      <c r="A223" s="132"/>
      <c r="B223" s="139"/>
    </row>
    <row r="224" spans="1:9" ht="16.5" thickBot="1">
      <c r="A224" s="132"/>
      <c r="B224" s="140"/>
      <c r="C224" s="140" t="s">
        <v>389</v>
      </c>
      <c r="D224" s="141"/>
      <c r="E224" s="141"/>
      <c r="F224" s="140"/>
      <c r="G224" s="141" t="s">
        <v>40</v>
      </c>
      <c r="H224" s="141"/>
      <c r="I224" s="142"/>
    </row>
    <row r="225" spans="1:9">
      <c r="A225" s="132"/>
      <c r="B225" s="143" t="s">
        <v>37</v>
      </c>
      <c r="C225" s="144" t="s">
        <v>38</v>
      </c>
      <c r="D225" s="145" t="s">
        <v>2</v>
      </c>
      <c r="E225" s="146" t="s">
        <v>241</v>
      </c>
      <c r="F225" s="147" t="s">
        <v>37</v>
      </c>
      <c r="G225" s="145" t="s">
        <v>38</v>
      </c>
      <c r="H225" s="145" t="s">
        <v>2</v>
      </c>
    </row>
    <row r="226" spans="1:9">
      <c r="A226" s="132"/>
      <c r="B226" s="97" t="s">
        <v>166</v>
      </c>
      <c r="C226" s="97" t="s">
        <v>254</v>
      </c>
      <c r="D226" s="219">
        <v>3</v>
      </c>
      <c r="E226" s="81" t="s">
        <v>44</v>
      </c>
      <c r="F226" s="148"/>
      <c r="G226" s="148"/>
      <c r="H226" s="149"/>
    </row>
    <row r="227" spans="1:9">
      <c r="A227" s="132"/>
      <c r="B227" s="97" t="s">
        <v>258</v>
      </c>
      <c r="C227" s="97" t="s">
        <v>259</v>
      </c>
      <c r="D227" s="219">
        <v>3</v>
      </c>
      <c r="E227" s="81" t="s">
        <v>44</v>
      </c>
      <c r="F227" s="148"/>
      <c r="G227" s="148"/>
      <c r="H227" s="149"/>
    </row>
    <row r="228" spans="1:9">
      <c r="A228" s="132"/>
      <c r="B228" s="97" t="s">
        <v>169</v>
      </c>
      <c r="C228" s="97" t="s">
        <v>252</v>
      </c>
      <c r="D228" s="219">
        <v>6</v>
      </c>
      <c r="E228" s="81" t="s">
        <v>44</v>
      </c>
      <c r="F228" s="148"/>
      <c r="G228" s="148"/>
      <c r="H228" s="149"/>
    </row>
    <row r="229" spans="1:9">
      <c r="A229" s="132"/>
      <c r="B229" s="97" t="s">
        <v>256</v>
      </c>
      <c r="C229" s="97" t="s">
        <v>257</v>
      </c>
      <c r="D229" s="219">
        <v>3</v>
      </c>
      <c r="E229" s="81" t="s">
        <v>44</v>
      </c>
      <c r="F229" s="148"/>
      <c r="G229" s="148"/>
      <c r="H229" s="149"/>
    </row>
    <row r="230" spans="1:9">
      <c r="A230" s="132"/>
      <c r="B230" s="97" t="s">
        <v>162</v>
      </c>
      <c r="C230" s="97" t="s">
        <v>253</v>
      </c>
      <c r="D230" s="219">
        <v>3</v>
      </c>
      <c r="E230" s="81" t="s">
        <v>44</v>
      </c>
      <c r="F230" s="148"/>
      <c r="G230" s="148"/>
      <c r="H230" s="149"/>
    </row>
    <row r="231" spans="1:9">
      <c r="A231" s="132"/>
      <c r="B231" s="97" t="s">
        <v>280</v>
      </c>
      <c r="C231" s="97" t="s">
        <v>355</v>
      </c>
      <c r="D231" s="219">
        <v>6</v>
      </c>
      <c r="E231" s="81" t="s">
        <v>44</v>
      </c>
      <c r="F231" s="148"/>
      <c r="G231" s="148"/>
      <c r="H231" s="149"/>
    </row>
    <row r="232" spans="1:9">
      <c r="A232" s="132"/>
      <c r="B232" s="97" t="s">
        <v>273</v>
      </c>
      <c r="C232" s="97" t="s">
        <v>270</v>
      </c>
      <c r="D232" s="219">
        <v>6</v>
      </c>
      <c r="E232" s="53" t="s">
        <v>44</v>
      </c>
      <c r="F232" s="148"/>
      <c r="G232" s="148"/>
      <c r="H232" s="149"/>
    </row>
    <row r="233" spans="1:9">
      <c r="A233" s="132"/>
      <c r="B233" s="97" t="s">
        <v>170</v>
      </c>
      <c r="C233" s="97" t="s">
        <v>276</v>
      </c>
      <c r="D233" s="219">
        <v>6</v>
      </c>
      <c r="E233" s="53" t="s">
        <v>44</v>
      </c>
      <c r="F233" s="148"/>
      <c r="G233" s="148"/>
      <c r="H233" s="149"/>
    </row>
    <row r="234" spans="1:9">
      <c r="A234" s="132"/>
      <c r="B234" s="97" t="s">
        <v>262</v>
      </c>
      <c r="C234" s="97" t="s">
        <v>263</v>
      </c>
      <c r="D234" s="219">
        <v>6</v>
      </c>
      <c r="E234" s="53" t="s">
        <v>44</v>
      </c>
      <c r="F234" s="148"/>
      <c r="G234" s="148"/>
      <c r="H234" s="149"/>
    </row>
    <row r="235" spans="1:9">
      <c r="A235" s="132"/>
      <c r="B235" s="97" t="s">
        <v>260</v>
      </c>
      <c r="C235" s="97" t="s">
        <v>261</v>
      </c>
      <c r="D235" s="219">
        <v>6</v>
      </c>
      <c r="E235" s="53" t="s">
        <v>44</v>
      </c>
      <c r="F235" s="148"/>
      <c r="G235" s="148"/>
      <c r="H235" s="149"/>
    </row>
    <row r="236" spans="1:9">
      <c r="A236" s="132"/>
      <c r="B236" s="97" t="s">
        <v>264</v>
      </c>
      <c r="C236" s="97" t="s">
        <v>265</v>
      </c>
      <c r="D236" s="219">
        <v>3</v>
      </c>
      <c r="E236" s="221" t="s">
        <v>44</v>
      </c>
      <c r="F236" s="148"/>
      <c r="G236" s="148"/>
      <c r="H236" s="149"/>
    </row>
    <row r="237" spans="1:9">
      <c r="A237" s="132"/>
      <c r="B237" s="97" t="s">
        <v>13</v>
      </c>
      <c r="C237" s="97" t="s">
        <v>14</v>
      </c>
      <c r="D237" s="219">
        <v>3</v>
      </c>
      <c r="E237" s="221" t="s">
        <v>44</v>
      </c>
      <c r="F237" s="148"/>
      <c r="G237" s="148"/>
      <c r="H237" s="149"/>
    </row>
    <row r="238" spans="1:9">
      <c r="A238" s="132"/>
      <c r="B238" s="97" t="s">
        <v>18</v>
      </c>
      <c r="C238" s="97" t="s">
        <v>255</v>
      </c>
      <c r="D238" s="219">
        <v>3</v>
      </c>
      <c r="E238" s="221" t="s">
        <v>44</v>
      </c>
      <c r="F238" s="148"/>
      <c r="G238" s="148"/>
      <c r="H238" s="149"/>
    </row>
    <row r="239" spans="1:9">
      <c r="A239" s="132"/>
      <c r="C239" s="151" t="s">
        <v>15</v>
      </c>
      <c r="D239" s="152">
        <f>SUMIFS(D226:D238,H226:H238,"",E226:E238,"Yes")+SUM(H226:H238)</f>
        <v>57</v>
      </c>
      <c r="E239" s="137"/>
      <c r="I239" s="133"/>
    </row>
    <row r="240" spans="1:9">
      <c r="A240" s="132"/>
    </row>
    <row r="241" spans="1:8">
      <c r="A241" s="132"/>
      <c r="B241"/>
      <c r="C241"/>
      <c r="D241"/>
      <c r="E241"/>
      <c r="F241"/>
      <c r="G241"/>
      <c r="H241"/>
    </row>
    <row r="242" spans="1:8">
      <c r="A242" s="132"/>
      <c r="B242"/>
      <c r="C242"/>
      <c r="D242"/>
      <c r="E242"/>
      <c r="F242"/>
      <c r="G242"/>
      <c r="H242"/>
    </row>
    <row r="243" spans="1:8">
      <c r="A243" s="132"/>
      <c r="B243"/>
      <c r="C243"/>
      <c r="D243"/>
      <c r="E243"/>
      <c r="F243"/>
      <c r="G243"/>
      <c r="H243"/>
    </row>
    <row r="244" spans="1:8">
      <c r="A244" s="132"/>
      <c r="B244"/>
      <c r="C244"/>
      <c r="D244"/>
      <c r="E244"/>
      <c r="F244"/>
      <c r="G244"/>
      <c r="H244"/>
    </row>
    <row r="245" spans="1:8" ht="16.5" thickBot="1">
      <c r="A245" s="132"/>
      <c r="B245" s="253"/>
      <c r="C245" s="171" t="s">
        <v>391</v>
      </c>
      <c r="D245" s="172"/>
      <c r="G245"/>
      <c r="H245"/>
    </row>
    <row r="246" spans="1:8">
      <c r="A246" s="132"/>
      <c r="B246" s="153" t="s">
        <v>392</v>
      </c>
    </row>
    <row r="247" spans="1:8">
      <c r="A247" s="132"/>
      <c r="B247" s="154" t="s">
        <v>23</v>
      </c>
      <c r="C247" s="155" t="s">
        <v>24</v>
      </c>
      <c r="D247" s="156"/>
      <c r="E247" s="157"/>
      <c r="G247" s="158"/>
      <c r="H247" s="159"/>
    </row>
    <row r="248" spans="1:8" ht="16.5" thickBot="1">
      <c r="A248" s="132"/>
      <c r="B248" s="160" t="s">
        <v>49</v>
      </c>
      <c r="C248" s="161" t="s">
        <v>42</v>
      </c>
      <c r="D248" s="162"/>
      <c r="E248" s="163"/>
      <c r="F248" s="164"/>
      <c r="G248" s="141" t="s">
        <v>22</v>
      </c>
      <c r="H248" s="141"/>
    </row>
    <row r="249" spans="1:8">
      <c r="A249" s="132" t="s">
        <v>393</v>
      </c>
      <c r="B249" s="143" t="s">
        <v>37</v>
      </c>
      <c r="C249" s="165" t="s">
        <v>38</v>
      </c>
      <c r="D249" s="192" t="s">
        <v>2</v>
      </c>
      <c r="E249" s="187" t="s">
        <v>48</v>
      </c>
      <c r="F249" s="143" t="s">
        <v>37</v>
      </c>
      <c r="G249" s="166" t="s">
        <v>38</v>
      </c>
      <c r="H249" s="145" t="s">
        <v>2</v>
      </c>
    </row>
    <row r="250" spans="1:8">
      <c r="A250" s="132"/>
      <c r="B250" s="167"/>
      <c r="C250" s="167"/>
      <c r="D250" s="150"/>
      <c r="E250" s="168"/>
      <c r="F250" s="150"/>
      <c r="G250" s="150"/>
      <c r="H250" s="150"/>
    </row>
    <row r="251" spans="1:8">
      <c r="A251" s="132"/>
      <c r="B251" s="167"/>
      <c r="C251" s="167"/>
      <c r="D251" s="150"/>
      <c r="E251" s="168"/>
      <c r="F251" s="150"/>
      <c r="G251" s="150"/>
      <c r="H251" s="150"/>
    </row>
    <row r="252" spans="1:8">
      <c r="A252" s="132" t="s">
        <v>394</v>
      </c>
      <c r="B252" s="169"/>
      <c r="C252" s="151" t="s">
        <v>15</v>
      </c>
      <c r="D252" s="152">
        <f>SUMIFS(D249:D251,H249:H251,"",E249:E251,"Yes")+SUM(H249:H251)</f>
        <v>0</v>
      </c>
      <c r="E252" s="137"/>
      <c r="F252" s="135"/>
      <c r="G252" s="135"/>
      <c r="H252" s="170"/>
    </row>
    <row r="253" spans="1:8">
      <c r="A253" s="132"/>
      <c r="B253" s="55" t="s">
        <v>247</v>
      </c>
    </row>
    <row r="254" spans="1:8">
      <c r="A254" s="132"/>
      <c r="B254" s="153" t="s">
        <v>283</v>
      </c>
      <c r="C254" s="153"/>
      <c r="D254" s="220"/>
      <c r="E254" s="220"/>
      <c r="F254" s="153"/>
      <c r="G254" s="153"/>
      <c r="H254" s="220"/>
    </row>
    <row r="255" spans="1:8">
      <c r="A255" s="132"/>
      <c r="B255" s="153" t="s">
        <v>284</v>
      </c>
      <c r="C255" s="153"/>
      <c r="D255" s="220"/>
      <c r="E255" s="220"/>
      <c r="F255" s="153"/>
      <c r="G255" s="153"/>
      <c r="H255" s="220"/>
    </row>
    <row r="256" spans="1:8">
      <c r="A256" s="132"/>
      <c r="B256" s="153"/>
      <c r="C256" s="153"/>
      <c r="D256" s="220"/>
      <c r="E256" s="220"/>
      <c r="F256" s="153"/>
      <c r="G256" s="153"/>
      <c r="H256" s="220"/>
    </row>
    <row r="257" spans="1:8" ht="16.5" thickBot="1">
      <c r="A257" s="132"/>
      <c r="B257" s="298" t="s">
        <v>562</v>
      </c>
      <c r="C257" s="298"/>
      <c r="D257" s="298"/>
      <c r="E257" s="172"/>
      <c r="F257" s="298" t="s">
        <v>282</v>
      </c>
      <c r="G257" s="298"/>
      <c r="H257" s="298"/>
    </row>
    <row r="258" spans="1:8">
      <c r="A258" s="132"/>
      <c r="B258" s="143" t="s">
        <v>37</v>
      </c>
      <c r="C258" s="165" t="s">
        <v>38</v>
      </c>
      <c r="D258" s="192" t="s">
        <v>2</v>
      </c>
      <c r="E258" s="185" t="s">
        <v>48</v>
      </c>
      <c r="F258" s="143" t="s">
        <v>37</v>
      </c>
      <c r="G258" s="143" t="s">
        <v>38</v>
      </c>
      <c r="H258" s="192" t="s">
        <v>2</v>
      </c>
    </row>
    <row r="259" spans="1:8">
      <c r="A259" s="132"/>
      <c r="B259" s="183" t="str">
        <f t="shared" ref="B259:B274" si="4">VLOOKUP(C259,math_elective_list,2,0)</f>
        <v/>
      </c>
      <c r="C259" s="167" t="s">
        <v>346</v>
      </c>
      <c r="D259" s="214" t="str">
        <f t="shared" ref="D259:D274" si="5">VLOOKUP(C259,math_elective_list,3,0)</f>
        <v/>
      </c>
      <c r="E259" s="186"/>
      <c r="F259" s="150"/>
      <c r="G259" s="150"/>
      <c r="H259" s="150"/>
    </row>
    <row r="260" spans="1:8">
      <c r="A260" s="132"/>
      <c r="B260" s="183" t="str">
        <f t="shared" si="4"/>
        <v/>
      </c>
      <c r="C260" s="167" t="s">
        <v>6</v>
      </c>
      <c r="D260" s="214" t="str">
        <f t="shared" si="5"/>
        <v/>
      </c>
      <c r="E260" s="186"/>
      <c r="F260" s="150"/>
      <c r="G260" s="150"/>
      <c r="H260" s="150"/>
    </row>
    <row r="261" spans="1:8">
      <c r="A261" s="132"/>
      <c r="B261" s="183" t="str">
        <f t="shared" si="4"/>
        <v/>
      </c>
      <c r="C261" s="167" t="s">
        <v>6</v>
      </c>
      <c r="D261" s="214" t="str">
        <f t="shared" si="5"/>
        <v/>
      </c>
      <c r="E261" s="186"/>
      <c r="F261" s="150"/>
      <c r="G261" s="150"/>
      <c r="H261" s="150"/>
    </row>
    <row r="262" spans="1:8">
      <c r="A262" s="132"/>
      <c r="B262" s="183" t="str">
        <f t="shared" si="4"/>
        <v/>
      </c>
      <c r="C262" s="167" t="s">
        <v>6</v>
      </c>
      <c r="D262" s="214" t="str">
        <f t="shared" si="5"/>
        <v/>
      </c>
      <c r="E262" s="186"/>
      <c r="F262" s="150"/>
      <c r="G262" s="150"/>
      <c r="H262" s="150"/>
    </row>
    <row r="263" spans="1:8">
      <c r="A263" s="132"/>
      <c r="B263" s="183" t="str">
        <f t="shared" si="4"/>
        <v/>
      </c>
      <c r="C263" s="167" t="s">
        <v>6</v>
      </c>
      <c r="D263" s="214" t="str">
        <f t="shared" si="5"/>
        <v/>
      </c>
      <c r="E263" s="186"/>
      <c r="F263" s="150"/>
      <c r="G263" s="150"/>
      <c r="H263" s="150"/>
    </row>
    <row r="264" spans="1:8">
      <c r="A264" s="132"/>
      <c r="B264" s="183" t="str">
        <f t="shared" si="4"/>
        <v/>
      </c>
      <c r="C264" s="167" t="s">
        <v>6</v>
      </c>
      <c r="D264" s="214" t="str">
        <f t="shared" si="5"/>
        <v/>
      </c>
      <c r="E264" s="186"/>
      <c r="F264" s="150"/>
      <c r="G264" s="150"/>
      <c r="H264" s="150"/>
    </row>
    <row r="265" spans="1:8">
      <c r="A265" s="132"/>
      <c r="B265" s="183" t="str">
        <f t="shared" si="4"/>
        <v/>
      </c>
      <c r="C265" s="167" t="s">
        <v>6</v>
      </c>
      <c r="D265" s="214" t="str">
        <f t="shared" si="5"/>
        <v/>
      </c>
      <c r="E265" s="186"/>
      <c r="F265" s="150"/>
      <c r="G265" s="150"/>
      <c r="H265" s="150"/>
    </row>
    <row r="266" spans="1:8">
      <c r="A266" s="132"/>
      <c r="B266" s="183" t="str">
        <f t="shared" si="4"/>
        <v/>
      </c>
      <c r="C266" s="167" t="s">
        <v>6</v>
      </c>
      <c r="D266" s="214" t="str">
        <f t="shared" si="5"/>
        <v/>
      </c>
      <c r="E266" s="186"/>
      <c r="F266" s="150"/>
      <c r="G266" s="150"/>
      <c r="H266" s="150"/>
    </row>
    <row r="267" spans="1:8">
      <c r="A267" s="132"/>
      <c r="B267" s="183" t="str">
        <f t="shared" si="4"/>
        <v/>
      </c>
      <c r="C267" s="167" t="s">
        <v>6</v>
      </c>
      <c r="D267" s="214" t="str">
        <f t="shared" si="5"/>
        <v/>
      </c>
      <c r="E267" s="186"/>
      <c r="F267" s="150"/>
      <c r="G267" s="150"/>
      <c r="H267" s="150"/>
    </row>
    <row r="268" spans="1:8">
      <c r="A268" s="132"/>
      <c r="B268" s="183" t="str">
        <f t="shared" si="4"/>
        <v/>
      </c>
      <c r="C268" s="167" t="s">
        <v>6</v>
      </c>
      <c r="D268" s="214" t="str">
        <f t="shared" si="5"/>
        <v/>
      </c>
      <c r="E268" s="186"/>
      <c r="F268" s="150"/>
      <c r="G268" s="150"/>
      <c r="H268" s="150"/>
    </row>
    <row r="269" spans="1:8">
      <c r="A269" s="132"/>
      <c r="B269" s="183" t="str">
        <f t="shared" si="4"/>
        <v/>
      </c>
      <c r="C269" s="167" t="s">
        <v>6</v>
      </c>
      <c r="D269" s="214" t="str">
        <f t="shared" si="5"/>
        <v/>
      </c>
      <c r="E269" s="186"/>
      <c r="F269" s="150"/>
      <c r="G269" s="150"/>
      <c r="H269" s="150"/>
    </row>
    <row r="270" spans="1:8">
      <c r="A270" s="132"/>
      <c r="B270" s="183" t="str">
        <f t="shared" si="4"/>
        <v/>
      </c>
      <c r="C270" s="167" t="s">
        <v>6</v>
      </c>
      <c r="D270" s="214" t="str">
        <f t="shared" si="5"/>
        <v/>
      </c>
      <c r="E270" s="186"/>
      <c r="F270" s="150"/>
      <c r="G270" s="150"/>
      <c r="H270" s="150"/>
    </row>
    <row r="271" spans="1:8">
      <c r="A271" s="132"/>
      <c r="B271" s="183" t="str">
        <f t="shared" si="4"/>
        <v/>
      </c>
      <c r="C271" s="167" t="s">
        <v>6</v>
      </c>
      <c r="D271" s="214" t="str">
        <f t="shared" si="5"/>
        <v/>
      </c>
      <c r="E271" s="186"/>
      <c r="F271" s="150"/>
      <c r="G271" s="150"/>
      <c r="H271" s="150"/>
    </row>
    <row r="272" spans="1:8">
      <c r="A272" s="132"/>
      <c r="B272" s="183" t="str">
        <f t="shared" si="4"/>
        <v/>
      </c>
      <c r="C272" s="167" t="s">
        <v>6</v>
      </c>
      <c r="D272" s="214" t="str">
        <f t="shared" si="5"/>
        <v/>
      </c>
      <c r="E272" s="186"/>
      <c r="F272" s="150"/>
      <c r="G272" s="150"/>
      <c r="H272" s="150"/>
    </row>
    <row r="273" spans="1:9">
      <c r="A273" s="132"/>
      <c r="B273" s="183" t="str">
        <f t="shared" si="4"/>
        <v/>
      </c>
      <c r="C273" s="167" t="s">
        <v>6</v>
      </c>
      <c r="D273" s="214" t="str">
        <f t="shared" si="5"/>
        <v/>
      </c>
      <c r="E273" s="186"/>
      <c r="F273" s="150"/>
      <c r="G273" s="150"/>
      <c r="H273" s="150"/>
    </row>
    <row r="274" spans="1:9">
      <c r="A274" s="132"/>
      <c r="B274" s="183" t="str">
        <f t="shared" si="4"/>
        <v/>
      </c>
      <c r="C274" s="167" t="s">
        <v>6</v>
      </c>
      <c r="D274" s="214" t="str">
        <f t="shared" si="5"/>
        <v/>
      </c>
      <c r="E274" s="186"/>
      <c r="F274" s="150"/>
      <c r="G274" s="150"/>
      <c r="H274" s="150"/>
    </row>
    <row r="275" spans="1:9">
      <c r="A275" s="132"/>
      <c r="B275" s="299" t="s">
        <v>285</v>
      </c>
      <c r="C275" s="300"/>
      <c r="D275" s="213">
        <f>SUM(D259:D274)</f>
        <v>0</v>
      </c>
      <c r="E275" s="216"/>
      <c r="F275" s="299" t="s">
        <v>286</v>
      </c>
      <c r="G275" s="300"/>
      <c r="H275" s="215">
        <f>SUM(H259:H274)</f>
        <v>0</v>
      </c>
    </row>
    <row r="276" spans="1:9">
      <c r="A276" s="132"/>
      <c r="C276" s="212" t="s">
        <v>287</v>
      </c>
      <c r="D276" s="152">
        <f>SUM(D275,H275)</f>
        <v>0</v>
      </c>
    </row>
    <row r="277" spans="1:9">
      <c r="A277" s="25"/>
      <c r="B277" s="25"/>
      <c r="C277" s="25"/>
      <c r="D277" s="25"/>
      <c r="E277" s="25"/>
      <c r="F277" s="25"/>
      <c r="G277" s="25"/>
      <c r="H277" s="201"/>
      <c r="I277" s="25"/>
    </row>
    <row r="278" spans="1:9">
      <c r="A278" s="132"/>
      <c r="D278" s="25"/>
      <c r="I278" s="25"/>
    </row>
    <row r="279" spans="1:9" ht="16.5" thickBot="1">
      <c r="A279" s="132"/>
      <c r="B279" s="164"/>
      <c r="C279" s="173" t="s">
        <v>347</v>
      </c>
      <c r="D279" s="141"/>
      <c r="E279" s="174"/>
      <c r="F279" s="164"/>
      <c r="G279" s="172"/>
    </row>
    <row r="280" spans="1:9">
      <c r="A280" s="132"/>
      <c r="B280" s="304" t="s">
        <v>242</v>
      </c>
      <c r="C280" s="305"/>
      <c r="D280" s="175">
        <v>12</v>
      </c>
      <c r="E280" s="306"/>
      <c r="F280" s="307"/>
      <c r="G280" s="176"/>
    </row>
    <row r="281" spans="1:9">
      <c r="A281" s="132"/>
      <c r="C281" s="177" t="s">
        <v>3</v>
      </c>
      <c r="D281" s="178">
        <f>SUM(D280)</f>
        <v>12</v>
      </c>
      <c r="G281" s="133"/>
    </row>
    <row r="282" spans="1:9">
      <c r="A282" s="132"/>
    </row>
    <row r="283" spans="1:9">
      <c r="A283" s="132"/>
    </row>
    <row r="284" spans="1:9">
      <c r="A284" s="132"/>
      <c r="C284" s="179" t="s">
        <v>243</v>
      </c>
      <c r="D284" s="180">
        <f>SUM(D281,D276,D252,D239)</f>
        <v>69</v>
      </c>
    </row>
    <row r="285" spans="1:9">
      <c r="A285" s="132"/>
      <c r="B285" s="25"/>
      <c r="C285" s="25"/>
      <c r="D285" s="25"/>
    </row>
    <row r="286" spans="1:9">
      <c r="A286" s="132"/>
      <c r="B286" s="251" t="s">
        <v>385</v>
      </c>
      <c r="C286" s="247"/>
      <c r="D286" s="247"/>
      <c r="E286" s="248"/>
      <c r="F286" s="249"/>
      <c r="G286" s="249"/>
    </row>
    <row r="287" spans="1:9">
      <c r="A287" s="132"/>
      <c r="B287" s="246"/>
      <c r="C287" s="247"/>
      <c r="D287" s="247"/>
      <c r="E287" s="248"/>
      <c r="F287" s="249"/>
      <c r="G287" s="249"/>
    </row>
    <row r="288" spans="1:9">
      <c r="A288" s="132"/>
      <c r="B288" s="246" t="s">
        <v>386</v>
      </c>
      <c r="C288" s="247"/>
      <c r="D288" s="247"/>
      <c r="E288" s="248"/>
      <c r="F288" s="249"/>
      <c r="G288" s="249"/>
    </row>
    <row r="289" spans="1:9">
      <c r="A289" s="132"/>
      <c r="B289" s="250" t="s">
        <v>387</v>
      </c>
      <c r="C289" s="247"/>
      <c r="D289" s="247"/>
      <c r="E289" s="248"/>
      <c r="F289" s="249"/>
      <c r="G289" s="249"/>
    </row>
    <row r="290" spans="1:9">
      <c r="A290" s="132"/>
      <c r="B290" s="250" t="s">
        <v>388</v>
      </c>
      <c r="C290" s="247"/>
      <c r="D290" s="247"/>
      <c r="E290" s="248"/>
      <c r="F290" s="249"/>
      <c r="G290" s="249"/>
    </row>
    <row r="291" spans="1:9">
      <c r="A291" s="132"/>
      <c r="B291" s="245"/>
      <c r="C291" s="25"/>
      <c r="D291" s="25"/>
    </row>
    <row r="292" spans="1:9">
      <c r="A292" s="33"/>
      <c r="B292" s="14" t="s">
        <v>348</v>
      </c>
      <c r="C292" s="14"/>
      <c r="D292" s="16"/>
      <c r="E292" s="34"/>
      <c r="F292" s="3"/>
      <c r="G292" s="11"/>
      <c r="H292" s="3"/>
      <c r="I292" s="3"/>
    </row>
    <row r="293" spans="1:9">
      <c r="A293" s="33"/>
      <c r="B293" s="27" t="s">
        <v>0</v>
      </c>
      <c r="C293" s="27" t="s">
        <v>1</v>
      </c>
      <c r="D293" s="29" t="s">
        <v>2</v>
      </c>
      <c r="E293" s="15"/>
      <c r="F293" s="3"/>
      <c r="G293" s="11"/>
      <c r="H293" s="3"/>
      <c r="I293" s="3"/>
    </row>
    <row r="294" spans="1:9">
      <c r="A294" s="33"/>
      <c r="B294" s="8"/>
      <c r="C294" s="8"/>
      <c r="D294" s="13"/>
      <c r="E294" s="37"/>
      <c r="F294" s="3"/>
      <c r="G294" s="11"/>
      <c r="H294" s="3"/>
      <c r="I294" s="3"/>
    </row>
    <row r="295" spans="1:9">
      <c r="A295" s="33"/>
      <c r="B295" s="8"/>
      <c r="C295" s="8"/>
      <c r="D295" s="13"/>
      <c r="E295" s="37"/>
      <c r="F295" s="3"/>
      <c r="G295" s="11"/>
      <c r="H295" s="3"/>
      <c r="I295" s="3"/>
    </row>
    <row r="296" spans="1:9">
      <c r="A296" s="33"/>
      <c r="B296" s="8"/>
      <c r="C296" s="8"/>
      <c r="D296" s="13"/>
      <c r="E296" s="37"/>
      <c r="F296" s="3"/>
      <c r="G296" s="11"/>
      <c r="H296" s="3"/>
      <c r="I296" s="3"/>
    </row>
    <row r="297" spans="1:9">
      <c r="A297" s="33"/>
      <c r="B297" s="8"/>
      <c r="C297" s="8"/>
      <c r="D297" s="13"/>
      <c r="E297" s="37"/>
      <c r="F297" s="3"/>
      <c r="G297" s="11"/>
      <c r="H297" s="3"/>
      <c r="I297" s="3"/>
    </row>
    <row r="298" spans="1:9">
      <c r="A298" s="33"/>
      <c r="B298" s="8"/>
      <c r="C298" s="8"/>
      <c r="D298" s="13"/>
      <c r="E298" s="37"/>
      <c r="F298" s="3"/>
      <c r="G298" s="11"/>
      <c r="H298" s="3"/>
      <c r="I298" s="3"/>
    </row>
    <row r="299" spans="1:9">
      <c r="A299" s="33"/>
      <c r="B299" s="8"/>
      <c r="C299" s="8"/>
      <c r="D299" s="13"/>
      <c r="E299" s="37"/>
      <c r="F299" s="3"/>
      <c r="G299" s="11"/>
      <c r="H299" s="3"/>
      <c r="I299" s="3"/>
    </row>
    <row r="300" spans="1:9">
      <c r="A300" s="33"/>
      <c r="B300" s="8"/>
      <c r="C300" s="8"/>
      <c r="D300" s="13"/>
      <c r="E300" s="37"/>
      <c r="F300" s="3"/>
      <c r="G300" s="11"/>
      <c r="H300" s="3"/>
      <c r="I300" s="3"/>
    </row>
    <row r="301" spans="1:9">
      <c r="A301" s="33"/>
      <c r="B301" s="8"/>
      <c r="C301" s="8"/>
      <c r="D301" s="13"/>
      <c r="E301" s="37"/>
      <c r="F301" s="3"/>
      <c r="G301" s="11"/>
      <c r="H301" s="3"/>
      <c r="I301" s="3"/>
    </row>
    <row r="302" spans="1:9">
      <c r="A302" s="33"/>
      <c r="B302" s="7"/>
      <c r="C302" s="7"/>
      <c r="D302" s="12"/>
      <c r="E302" s="37"/>
      <c r="F302" s="3"/>
      <c r="G302" s="11"/>
      <c r="H302" s="3"/>
      <c r="I302" s="3"/>
    </row>
    <row r="303" spans="1:9">
      <c r="A303" s="33"/>
      <c r="B303" s="7"/>
      <c r="C303" s="7"/>
      <c r="D303" s="12"/>
      <c r="E303" s="37"/>
      <c r="F303" s="3"/>
      <c r="G303" s="11"/>
      <c r="H303" s="3"/>
      <c r="I303" s="3"/>
    </row>
    <row r="304" spans="1:9">
      <c r="A304" s="33"/>
      <c r="B304" s="35"/>
      <c r="C304" s="36" t="s">
        <v>3</v>
      </c>
      <c r="D304" s="30">
        <f>SUM(D294:D303)</f>
        <v>0</v>
      </c>
      <c r="E304" s="38"/>
      <c r="F304" s="3"/>
      <c r="G304" s="11"/>
      <c r="H304" s="3"/>
      <c r="I304" s="3"/>
    </row>
    <row r="305" spans="1:9">
      <c r="A305" s="33"/>
      <c r="B305" s="3"/>
      <c r="C305" s="3"/>
      <c r="D305" s="11"/>
      <c r="E305" s="3"/>
      <c r="F305" s="3"/>
      <c r="G305" s="11"/>
      <c r="H305" s="3"/>
      <c r="I305" s="3"/>
    </row>
    <row r="306" spans="1:9">
      <c r="A306" s="33"/>
      <c r="B306" s="308" t="s">
        <v>349</v>
      </c>
      <c r="C306" s="308"/>
      <c r="D306" s="180">
        <f>SUM(D304,D284)</f>
        <v>69</v>
      </c>
      <c r="E306" s="25"/>
      <c r="F306" s="3"/>
      <c r="G306" s="11"/>
      <c r="H306" s="3"/>
      <c r="I306" s="3"/>
    </row>
    <row r="307" spans="1:9" s="25" customFormat="1" ht="15"/>
    <row r="308" spans="1:9" s="25" customFormat="1" ht="15"/>
    <row r="309" spans="1:9" s="25" customFormat="1">
      <c r="B309" s="309" t="s">
        <v>384</v>
      </c>
      <c r="C309" s="309"/>
      <c r="D309" s="309"/>
    </row>
    <row r="310" spans="1:9" s="25" customFormat="1" ht="15">
      <c r="B310" s="310"/>
      <c r="C310" s="310"/>
      <c r="D310" s="310"/>
      <c r="E310" s="310"/>
      <c r="F310" s="310"/>
      <c r="G310" s="310"/>
    </row>
    <row r="311" spans="1:9" s="25" customFormat="1" ht="15">
      <c r="B311" s="310"/>
      <c r="C311" s="310"/>
      <c r="D311" s="310"/>
      <c r="E311" s="310"/>
      <c r="F311" s="310"/>
      <c r="G311" s="310"/>
    </row>
    <row r="312" spans="1:9" s="25" customFormat="1" ht="15">
      <c r="B312" s="310"/>
      <c r="C312" s="310"/>
      <c r="D312" s="310"/>
      <c r="E312" s="310"/>
      <c r="F312" s="310"/>
      <c r="G312" s="310"/>
    </row>
    <row r="313" spans="1:9" s="25" customFormat="1" ht="15">
      <c r="B313" s="310"/>
      <c r="C313" s="310"/>
      <c r="D313" s="310"/>
      <c r="E313" s="310"/>
      <c r="F313" s="310"/>
      <c r="G313" s="310"/>
    </row>
    <row r="314" spans="1:9" s="25" customFormat="1" ht="15">
      <c r="B314" s="310"/>
      <c r="C314" s="310"/>
      <c r="D314" s="310"/>
      <c r="E314" s="310"/>
      <c r="F314" s="310"/>
      <c r="G314" s="310"/>
    </row>
    <row r="315" spans="1:9">
      <c r="A315" s="181" t="s">
        <v>8</v>
      </c>
    </row>
    <row r="316" spans="1:9">
      <c r="A316" s="193">
        <v>2016</v>
      </c>
    </row>
    <row r="317" spans="1:9">
      <c r="A317" s="132"/>
      <c r="B317" s="134" t="s">
        <v>356</v>
      </c>
    </row>
    <row r="318" spans="1:9">
      <c r="A318" s="132"/>
      <c r="B318" s="135" t="s">
        <v>246</v>
      </c>
      <c r="D318" s="136"/>
      <c r="E318" s="137"/>
      <c r="I318" s="133"/>
    </row>
    <row r="319" spans="1:9">
      <c r="A319" s="132"/>
    </row>
    <row r="320" spans="1:9">
      <c r="A320" s="132"/>
      <c r="B320" s="138" t="s">
        <v>16</v>
      </c>
      <c r="C320" s="324"/>
      <c r="D320" s="324"/>
      <c r="E320" s="324"/>
      <c r="F320" s="324"/>
      <c r="G320" s="324"/>
      <c r="H320" s="324"/>
      <c r="I320" s="324"/>
    </row>
    <row r="321" spans="1:9">
      <c r="A321" s="132"/>
      <c r="B321" s="138" t="s">
        <v>17</v>
      </c>
      <c r="C321" s="324"/>
      <c r="D321" s="324"/>
      <c r="E321" s="324"/>
      <c r="F321" s="324"/>
      <c r="G321" s="324"/>
      <c r="H321" s="324"/>
      <c r="I321" s="324"/>
    </row>
    <row r="322" spans="1:9">
      <c r="A322" s="132"/>
      <c r="B322" s="138" t="s">
        <v>4</v>
      </c>
      <c r="C322" s="324"/>
      <c r="D322" s="324"/>
      <c r="E322" s="324"/>
      <c r="F322" s="324"/>
      <c r="G322" s="324"/>
      <c r="H322" s="324"/>
      <c r="I322" s="324"/>
    </row>
    <row r="323" spans="1:9">
      <c r="A323" s="132"/>
      <c r="B323" s="138" t="s">
        <v>5</v>
      </c>
      <c r="C323" s="324"/>
      <c r="D323" s="324"/>
      <c r="E323" s="324"/>
      <c r="F323" s="324"/>
      <c r="G323" s="324"/>
      <c r="H323" s="324"/>
      <c r="I323" s="324"/>
    </row>
    <row r="324" spans="1:9">
      <c r="A324" s="132"/>
      <c r="B324" s="138" t="s">
        <v>249</v>
      </c>
      <c r="C324" s="317" t="s">
        <v>66</v>
      </c>
      <c r="D324" s="317"/>
      <c r="E324" s="317"/>
      <c r="F324" s="317"/>
      <c r="G324" s="317"/>
      <c r="H324" s="317"/>
      <c r="I324" s="317"/>
    </row>
    <row r="325" spans="1:9">
      <c r="A325" s="132"/>
      <c r="B325" s="139"/>
    </row>
    <row r="326" spans="1:9" ht="16.5" thickBot="1">
      <c r="A326" s="132"/>
      <c r="B326" s="140"/>
      <c r="C326" s="140" t="s">
        <v>462</v>
      </c>
      <c r="D326" s="141"/>
      <c r="E326" s="141"/>
      <c r="F326" s="140"/>
      <c r="G326" s="141" t="s">
        <v>40</v>
      </c>
      <c r="H326" s="141"/>
      <c r="I326" s="142"/>
    </row>
    <row r="327" spans="1:9">
      <c r="A327" s="132"/>
      <c r="B327" s="143" t="s">
        <v>37</v>
      </c>
      <c r="C327" s="144" t="s">
        <v>38</v>
      </c>
      <c r="D327" s="145" t="s">
        <v>2</v>
      </c>
      <c r="E327" s="146" t="s">
        <v>241</v>
      </c>
      <c r="F327" s="147" t="s">
        <v>37</v>
      </c>
      <c r="G327" s="145" t="s">
        <v>38</v>
      </c>
      <c r="H327" s="145" t="s">
        <v>2</v>
      </c>
    </row>
    <row r="328" spans="1:9">
      <c r="A328" s="132"/>
      <c r="B328" s="222" t="s">
        <v>258</v>
      </c>
      <c r="C328" s="222" t="s">
        <v>358</v>
      </c>
      <c r="D328" s="223">
        <v>3</v>
      </c>
      <c r="E328" s="81" t="s">
        <v>44</v>
      </c>
      <c r="F328" s="148"/>
      <c r="G328" s="148"/>
      <c r="H328" s="149"/>
    </row>
    <row r="329" spans="1:9">
      <c r="A329" s="132"/>
      <c r="B329" s="222" t="s">
        <v>169</v>
      </c>
      <c r="C329" s="222" t="s">
        <v>252</v>
      </c>
      <c r="D329" s="223">
        <v>6</v>
      </c>
      <c r="E329" s="81" t="s">
        <v>44</v>
      </c>
      <c r="F329" s="148"/>
      <c r="G329" s="148"/>
      <c r="H329" s="149"/>
    </row>
    <row r="330" spans="1:9">
      <c r="A330" s="132"/>
      <c r="B330" s="222" t="s">
        <v>256</v>
      </c>
      <c r="C330" s="222" t="s">
        <v>357</v>
      </c>
      <c r="D330" s="223">
        <v>3</v>
      </c>
      <c r="E330" s="81" t="s">
        <v>44</v>
      </c>
      <c r="F330" s="148"/>
      <c r="G330" s="148"/>
      <c r="H330" s="149"/>
    </row>
    <row r="331" spans="1:9">
      <c r="A331" s="132"/>
      <c r="B331" s="222" t="s">
        <v>162</v>
      </c>
      <c r="C331" s="222" t="s">
        <v>253</v>
      </c>
      <c r="D331" s="223">
        <v>3</v>
      </c>
      <c r="E331" s="81" t="s">
        <v>44</v>
      </c>
      <c r="F331" s="148"/>
      <c r="G331" s="148"/>
      <c r="H331" s="149"/>
    </row>
    <row r="332" spans="1:9">
      <c r="A332" s="132"/>
      <c r="B332" s="222" t="s">
        <v>280</v>
      </c>
      <c r="C332" s="222" t="s">
        <v>274</v>
      </c>
      <c r="D332" s="223">
        <v>6</v>
      </c>
      <c r="E332" s="81" t="s">
        <v>44</v>
      </c>
      <c r="F332" s="148"/>
      <c r="G332" s="148"/>
      <c r="H332" s="149"/>
    </row>
    <row r="333" spans="1:9">
      <c r="A333" s="132"/>
      <c r="B333" s="222" t="s">
        <v>273</v>
      </c>
      <c r="C333" s="222" t="s">
        <v>270</v>
      </c>
      <c r="D333" s="223">
        <v>6</v>
      </c>
      <c r="E333" s="53" t="s">
        <v>44</v>
      </c>
      <c r="F333" s="148"/>
      <c r="G333" s="148"/>
      <c r="H333" s="149"/>
    </row>
    <row r="334" spans="1:9">
      <c r="A334" s="132"/>
      <c r="B334" s="222" t="s">
        <v>170</v>
      </c>
      <c r="C334" s="222" t="s">
        <v>276</v>
      </c>
      <c r="D334" s="223">
        <v>6</v>
      </c>
      <c r="E334" s="53" t="s">
        <v>44</v>
      </c>
      <c r="F334" s="148"/>
      <c r="G334" s="148"/>
      <c r="H334" s="149"/>
    </row>
    <row r="335" spans="1:9">
      <c r="A335" s="132"/>
      <c r="B335" s="222" t="s">
        <v>262</v>
      </c>
      <c r="C335" s="222" t="s">
        <v>263</v>
      </c>
      <c r="D335" s="223">
        <v>6</v>
      </c>
      <c r="E335" s="53" t="s">
        <v>44</v>
      </c>
      <c r="F335" s="148"/>
      <c r="G335" s="148"/>
      <c r="H335" s="149"/>
    </row>
    <row r="336" spans="1:9">
      <c r="A336" s="132"/>
      <c r="B336" s="222" t="s">
        <v>260</v>
      </c>
      <c r="C336" s="222" t="s">
        <v>261</v>
      </c>
      <c r="D336" s="223">
        <v>6</v>
      </c>
      <c r="E336" s="53" t="s">
        <v>44</v>
      </c>
      <c r="F336" s="148"/>
      <c r="G336" s="148"/>
      <c r="H336" s="149"/>
    </row>
    <row r="337" spans="1:9">
      <c r="A337" s="132"/>
      <c r="B337" s="222" t="s">
        <v>13</v>
      </c>
      <c r="C337" s="222" t="s">
        <v>359</v>
      </c>
      <c r="D337" s="223">
        <v>3</v>
      </c>
      <c r="E337" s="221" t="s">
        <v>44</v>
      </c>
      <c r="F337" s="148"/>
      <c r="G337" s="148"/>
      <c r="H337" s="149"/>
    </row>
    <row r="338" spans="1:9">
      <c r="A338" s="132"/>
      <c r="B338" s="222" t="s">
        <v>264</v>
      </c>
      <c r="C338" s="222" t="s">
        <v>457</v>
      </c>
      <c r="D338" s="223">
        <v>3</v>
      </c>
      <c r="E338" s="221" t="s">
        <v>44</v>
      </c>
      <c r="F338" s="148"/>
      <c r="G338" s="148"/>
      <c r="H338" s="149"/>
    </row>
    <row r="339" spans="1:9">
      <c r="A339" s="132"/>
      <c r="B339" s="222" t="s">
        <v>18</v>
      </c>
      <c r="C339" s="222" t="s">
        <v>250</v>
      </c>
      <c r="D339" s="223">
        <v>3</v>
      </c>
      <c r="E339" s="221" t="s">
        <v>44</v>
      </c>
      <c r="F339" s="148"/>
      <c r="G339" s="148"/>
      <c r="H339" s="149"/>
    </row>
    <row r="340" spans="1:9">
      <c r="A340" s="132"/>
      <c r="B340" s="325" t="s">
        <v>266</v>
      </c>
      <c r="C340" s="326"/>
      <c r="D340" s="326"/>
      <c r="E340" s="327"/>
      <c r="F340" s="148"/>
      <c r="G340" s="148"/>
      <c r="H340" s="149"/>
    </row>
    <row r="341" spans="1:9">
      <c r="A341" s="132"/>
      <c r="B341" s="208" t="s">
        <v>166</v>
      </c>
      <c r="C341" s="208" t="s">
        <v>254</v>
      </c>
      <c r="D341" s="209">
        <v>3</v>
      </c>
      <c r="E341" s="13"/>
      <c r="F341" s="148"/>
      <c r="G341" s="148"/>
      <c r="H341" s="149"/>
    </row>
    <row r="342" spans="1:9">
      <c r="A342" s="132"/>
      <c r="B342" s="208" t="s">
        <v>517</v>
      </c>
      <c r="C342" s="208" t="s">
        <v>518</v>
      </c>
      <c r="D342" s="209">
        <v>6</v>
      </c>
      <c r="E342" s="13"/>
      <c r="F342" s="148"/>
      <c r="G342" s="148"/>
      <c r="H342" s="149"/>
    </row>
    <row r="343" spans="1:9">
      <c r="A343" s="132"/>
      <c r="C343" s="151" t="s">
        <v>15</v>
      </c>
      <c r="D343" s="152">
        <f>SUMIFS(D328:D342,H328:H342,"",E328:E342,"Yes")+SUM(H328:H342)</f>
        <v>54</v>
      </c>
      <c r="E343" s="137"/>
      <c r="I343" s="133"/>
    </row>
    <row r="344" spans="1:9">
      <c r="A344" s="132"/>
    </row>
    <row r="345" spans="1:9">
      <c r="A345" s="132"/>
      <c r="B345"/>
      <c r="C345"/>
      <c r="D345"/>
      <c r="E345"/>
      <c r="F345"/>
      <c r="G345"/>
      <c r="H345"/>
    </row>
    <row r="346" spans="1:9">
      <c r="A346" s="132"/>
      <c r="B346"/>
      <c r="C346"/>
      <c r="D346"/>
      <c r="E346"/>
      <c r="F346"/>
      <c r="G346"/>
      <c r="H346"/>
    </row>
    <row r="347" spans="1:9">
      <c r="A347" s="132"/>
      <c r="B347"/>
      <c r="C347"/>
      <c r="D347"/>
      <c r="E347"/>
      <c r="F347"/>
      <c r="G347"/>
      <c r="H347"/>
    </row>
    <row r="348" spans="1:9">
      <c r="A348" s="132"/>
      <c r="B348"/>
      <c r="C348"/>
      <c r="D348"/>
      <c r="E348"/>
      <c r="F348"/>
      <c r="G348"/>
      <c r="H348"/>
    </row>
    <row r="349" spans="1:9" ht="16.5" thickBot="1">
      <c r="A349" s="132"/>
      <c r="B349" s="253"/>
      <c r="C349" s="171" t="s">
        <v>391</v>
      </c>
      <c r="D349" s="172"/>
      <c r="G349"/>
      <c r="H349"/>
    </row>
    <row r="350" spans="1:9">
      <c r="A350" s="132"/>
      <c r="B350" s="153" t="s">
        <v>392</v>
      </c>
    </row>
    <row r="351" spans="1:9">
      <c r="A351" s="132"/>
      <c r="B351" s="154" t="s">
        <v>23</v>
      </c>
      <c r="C351" s="155" t="s">
        <v>24</v>
      </c>
      <c r="D351" s="156"/>
      <c r="E351" s="157"/>
      <c r="G351" s="158"/>
      <c r="H351" s="159"/>
    </row>
    <row r="352" spans="1:9" ht="16.5" thickBot="1">
      <c r="A352" s="132"/>
      <c r="B352" s="160" t="s">
        <v>49</v>
      </c>
      <c r="C352" s="161" t="s">
        <v>42</v>
      </c>
      <c r="D352" s="162"/>
      <c r="E352" s="163"/>
      <c r="F352" s="164"/>
      <c r="G352" s="141" t="s">
        <v>22</v>
      </c>
      <c r="H352" s="141"/>
    </row>
    <row r="353" spans="1:8">
      <c r="A353" s="132" t="s">
        <v>393</v>
      </c>
      <c r="B353" s="143" t="s">
        <v>37</v>
      </c>
      <c r="C353" s="165" t="s">
        <v>38</v>
      </c>
      <c r="D353" s="192" t="s">
        <v>2</v>
      </c>
      <c r="E353" s="187" t="s">
        <v>48</v>
      </c>
      <c r="F353" s="143" t="s">
        <v>37</v>
      </c>
      <c r="G353" s="166" t="s">
        <v>38</v>
      </c>
      <c r="H353" s="145" t="s">
        <v>2</v>
      </c>
    </row>
    <row r="354" spans="1:8">
      <c r="A354" s="132"/>
      <c r="B354" s="167"/>
      <c r="C354" s="167"/>
      <c r="D354" s="150"/>
      <c r="E354" s="168"/>
      <c r="F354" s="150"/>
      <c r="G354" s="150"/>
      <c r="H354" s="150"/>
    </row>
    <row r="355" spans="1:8">
      <c r="A355" s="132"/>
      <c r="B355" s="167"/>
      <c r="C355" s="167"/>
      <c r="D355" s="150"/>
      <c r="E355" s="168"/>
      <c r="F355" s="150"/>
      <c r="G355" s="150"/>
      <c r="H355" s="150"/>
    </row>
    <row r="356" spans="1:8">
      <c r="A356" s="132" t="s">
        <v>394</v>
      </c>
      <c r="B356" s="169"/>
      <c r="C356" s="151" t="s">
        <v>15</v>
      </c>
      <c r="D356" s="152">
        <f>SUMIFS(D353:D355,H353:H355,"",E353:E355,"Yes")+SUM(H353:H355)</f>
        <v>0</v>
      </c>
      <c r="E356" s="137"/>
      <c r="F356" s="135"/>
      <c r="G356" s="135"/>
      <c r="H356" s="170"/>
    </row>
    <row r="357" spans="1:8">
      <c r="A357" s="132"/>
      <c r="B357" s="55" t="s">
        <v>247</v>
      </c>
    </row>
    <row r="358" spans="1:8">
      <c r="A358" s="132"/>
      <c r="B358" s="153" t="s">
        <v>283</v>
      </c>
      <c r="C358" s="153"/>
      <c r="D358" s="220"/>
      <c r="E358" s="220"/>
      <c r="F358" s="153"/>
      <c r="G358" s="153"/>
      <c r="H358" s="220"/>
    </row>
    <row r="359" spans="1:8">
      <c r="A359" s="132"/>
      <c r="B359" s="153" t="s">
        <v>284</v>
      </c>
      <c r="C359" s="153"/>
      <c r="D359" s="220"/>
      <c r="E359" s="220"/>
      <c r="F359" s="153"/>
      <c r="G359" s="153"/>
      <c r="H359" s="220"/>
    </row>
    <row r="360" spans="1:8">
      <c r="A360" s="132"/>
      <c r="B360" s="153"/>
      <c r="C360" s="153"/>
      <c r="D360" s="220"/>
      <c r="E360" s="220"/>
      <c r="F360" s="153"/>
      <c r="G360" s="153"/>
      <c r="H360" s="220"/>
    </row>
    <row r="361" spans="1:8" ht="16.5" thickBot="1">
      <c r="A361" s="132"/>
      <c r="B361" s="298" t="s">
        <v>378</v>
      </c>
      <c r="C361" s="298"/>
      <c r="D361" s="298"/>
      <c r="E361" s="172"/>
      <c r="F361" s="298" t="s">
        <v>282</v>
      </c>
      <c r="G361" s="298"/>
      <c r="H361" s="298"/>
    </row>
    <row r="362" spans="1:8">
      <c r="A362" s="132"/>
      <c r="B362" s="143" t="s">
        <v>37</v>
      </c>
      <c r="C362" s="165" t="s">
        <v>38</v>
      </c>
      <c r="D362" s="192" t="s">
        <v>2</v>
      </c>
      <c r="E362" s="185" t="s">
        <v>48</v>
      </c>
      <c r="F362" s="143" t="s">
        <v>37</v>
      </c>
      <c r="G362" s="143" t="s">
        <v>38</v>
      </c>
      <c r="H362" s="192" t="s">
        <v>2</v>
      </c>
    </row>
    <row r="363" spans="1:8">
      <c r="A363" s="132"/>
      <c r="B363" s="183" t="str">
        <f t="shared" ref="B363:B378" si="6">VLOOKUP(C363,math_electives_2016_lijst,2,0)</f>
        <v/>
      </c>
      <c r="C363" s="167" t="s">
        <v>346</v>
      </c>
      <c r="D363" s="214" t="str">
        <f>VLOOKUP(C363,math_electives_2016_lijst,3,0)</f>
        <v/>
      </c>
      <c r="E363" s="186">
        <f t="shared" ref="E363:E378" si="7">VLOOKUP(C363,math_electives_2016_lijst,4,0)</f>
        <v>0</v>
      </c>
      <c r="F363" s="150"/>
      <c r="G363" s="150"/>
      <c r="H363" s="150"/>
    </row>
    <row r="364" spans="1:8">
      <c r="A364" s="132"/>
      <c r="B364" s="183" t="str">
        <f t="shared" si="6"/>
        <v/>
      </c>
      <c r="C364" s="167" t="s">
        <v>6</v>
      </c>
      <c r="D364" s="214" t="str">
        <f t="shared" ref="D364:D378" si="8">VLOOKUP(C364,math_electives_2016_lijst,3,0)</f>
        <v/>
      </c>
      <c r="E364" s="186" t="str">
        <f t="shared" si="7"/>
        <v>Specialisations</v>
      </c>
      <c r="F364" s="150"/>
      <c r="G364" s="150"/>
      <c r="H364" s="150"/>
    </row>
    <row r="365" spans="1:8">
      <c r="A365" s="132"/>
      <c r="B365" s="183" t="str">
        <f t="shared" si="6"/>
        <v/>
      </c>
      <c r="C365" s="167" t="s">
        <v>6</v>
      </c>
      <c r="D365" s="214" t="str">
        <f t="shared" si="8"/>
        <v/>
      </c>
      <c r="E365" s="186" t="str">
        <f t="shared" si="7"/>
        <v>Specialisations</v>
      </c>
      <c r="F365" s="150"/>
      <c r="G365" s="150"/>
      <c r="H365" s="150"/>
    </row>
    <row r="366" spans="1:8">
      <c r="A366" s="132"/>
      <c r="B366" s="183" t="str">
        <f t="shared" si="6"/>
        <v/>
      </c>
      <c r="C366" s="167" t="s">
        <v>6</v>
      </c>
      <c r="D366" s="214" t="str">
        <f t="shared" si="8"/>
        <v/>
      </c>
      <c r="E366" s="186" t="str">
        <f t="shared" si="7"/>
        <v>Specialisations</v>
      </c>
      <c r="F366" s="150"/>
      <c r="G366" s="150"/>
      <c r="H366" s="150"/>
    </row>
    <row r="367" spans="1:8">
      <c r="A367" s="132"/>
      <c r="B367" s="183" t="str">
        <f t="shared" si="6"/>
        <v/>
      </c>
      <c r="C367" s="167" t="s">
        <v>6</v>
      </c>
      <c r="D367" s="214" t="str">
        <f t="shared" si="8"/>
        <v/>
      </c>
      <c r="E367" s="186" t="str">
        <f t="shared" si="7"/>
        <v>Specialisations</v>
      </c>
      <c r="F367" s="150"/>
      <c r="G367" s="150"/>
      <c r="H367" s="150"/>
    </row>
    <row r="368" spans="1:8">
      <c r="A368" s="132"/>
      <c r="B368" s="183" t="str">
        <f t="shared" si="6"/>
        <v/>
      </c>
      <c r="C368" s="167" t="s">
        <v>6</v>
      </c>
      <c r="D368" s="214" t="str">
        <f t="shared" si="8"/>
        <v/>
      </c>
      <c r="E368" s="186" t="str">
        <f t="shared" si="7"/>
        <v>Specialisations</v>
      </c>
      <c r="F368" s="150"/>
      <c r="G368" s="150"/>
      <c r="H368" s="150"/>
    </row>
    <row r="369" spans="1:9">
      <c r="A369" s="132"/>
      <c r="B369" s="183" t="str">
        <f t="shared" si="6"/>
        <v/>
      </c>
      <c r="C369" s="167" t="s">
        <v>6</v>
      </c>
      <c r="D369" s="214" t="str">
        <f t="shared" si="8"/>
        <v/>
      </c>
      <c r="E369" s="186" t="str">
        <f t="shared" si="7"/>
        <v>Specialisations</v>
      </c>
      <c r="F369" s="150"/>
      <c r="G369" s="150"/>
      <c r="H369" s="150"/>
    </row>
    <row r="370" spans="1:9">
      <c r="A370" s="132"/>
      <c r="B370" s="183" t="str">
        <f t="shared" si="6"/>
        <v/>
      </c>
      <c r="C370" s="167" t="s">
        <v>6</v>
      </c>
      <c r="D370" s="214" t="str">
        <f t="shared" si="8"/>
        <v/>
      </c>
      <c r="E370" s="186" t="str">
        <f t="shared" si="7"/>
        <v>Specialisations</v>
      </c>
      <c r="F370" s="150"/>
      <c r="G370" s="150"/>
      <c r="H370" s="150"/>
    </row>
    <row r="371" spans="1:9">
      <c r="A371" s="132"/>
      <c r="B371" s="183" t="str">
        <f t="shared" si="6"/>
        <v/>
      </c>
      <c r="C371" s="167" t="s">
        <v>6</v>
      </c>
      <c r="D371" s="214" t="str">
        <f t="shared" si="8"/>
        <v/>
      </c>
      <c r="E371" s="186" t="str">
        <f t="shared" si="7"/>
        <v>Specialisations</v>
      </c>
      <c r="F371" s="150"/>
      <c r="G371" s="150"/>
      <c r="H371" s="150"/>
    </row>
    <row r="372" spans="1:9">
      <c r="A372" s="132"/>
      <c r="B372" s="183" t="str">
        <f t="shared" si="6"/>
        <v/>
      </c>
      <c r="C372" s="167" t="s">
        <v>6</v>
      </c>
      <c r="D372" s="214" t="str">
        <f t="shared" si="8"/>
        <v/>
      </c>
      <c r="E372" s="186" t="str">
        <f t="shared" si="7"/>
        <v>Specialisations</v>
      </c>
      <c r="F372" s="150"/>
      <c r="G372" s="150"/>
      <c r="H372" s="150"/>
    </row>
    <row r="373" spans="1:9">
      <c r="A373" s="132"/>
      <c r="B373" s="183" t="str">
        <f t="shared" si="6"/>
        <v/>
      </c>
      <c r="C373" s="167" t="s">
        <v>6</v>
      </c>
      <c r="D373" s="214" t="str">
        <f t="shared" si="8"/>
        <v/>
      </c>
      <c r="E373" s="186" t="str">
        <f t="shared" si="7"/>
        <v>Specialisations</v>
      </c>
      <c r="F373" s="150"/>
      <c r="G373" s="150"/>
      <c r="H373" s="150"/>
    </row>
    <row r="374" spans="1:9">
      <c r="A374" s="132"/>
      <c r="B374" s="183" t="str">
        <f t="shared" si="6"/>
        <v/>
      </c>
      <c r="C374" s="167" t="s">
        <v>6</v>
      </c>
      <c r="D374" s="214" t="str">
        <f t="shared" si="8"/>
        <v/>
      </c>
      <c r="E374" s="186" t="str">
        <f t="shared" si="7"/>
        <v>Specialisations</v>
      </c>
      <c r="F374" s="150"/>
      <c r="G374" s="150"/>
      <c r="H374" s="150"/>
    </row>
    <row r="375" spans="1:9">
      <c r="A375" s="132"/>
      <c r="B375" s="183" t="str">
        <f t="shared" si="6"/>
        <v/>
      </c>
      <c r="C375" s="167" t="s">
        <v>6</v>
      </c>
      <c r="D375" s="214" t="str">
        <f t="shared" si="8"/>
        <v/>
      </c>
      <c r="E375" s="186" t="str">
        <f t="shared" si="7"/>
        <v>Specialisations</v>
      </c>
      <c r="F375" s="150"/>
      <c r="G375" s="150"/>
      <c r="H375" s="150"/>
    </row>
    <row r="376" spans="1:9">
      <c r="A376" s="132"/>
      <c r="B376" s="183" t="str">
        <f t="shared" si="6"/>
        <v/>
      </c>
      <c r="C376" s="167" t="s">
        <v>6</v>
      </c>
      <c r="D376" s="214" t="str">
        <f t="shared" si="8"/>
        <v/>
      </c>
      <c r="E376" s="186" t="str">
        <f t="shared" si="7"/>
        <v>Specialisations</v>
      </c>
      <c r="F376" s="150"/>
      <c r="G376" s="150"/>
      <c r="H376" s="150"/>
    </row>
    <row r="377" spans="1:9">
      <c r="A377" s="132"/>
      <c r="B377" s="183" t="str">
        <f t="shared" si="6"/>
        <v/>
      </c>
      <c r="C377" s="167" t="s">
        <v>6</v>
      </c>
      <c r="D377" s="214" t="str">
        <f t="shared" si="8"/>
        <v/>
      </c>
      <c r="E377" s="186" t="str">
        <f t="shared" si="7"/>
        <v>Specialisations</v>
      </c>
      <c r="F377" s="150"/>
      <c r="G377" s="150"/>
      <c r="H377" s="150"/>
    </row>
    <row r="378" spans="1:9">
      <c r="A378" s="132"/>
      <c r="B378" s="183" t="str">
        <f t="shared" si="6"/>
        <v/>
      </c>
      <c r="C378" s="167" t="s">
        <v>6</v>
      </c>
      <c r="D378" s="214" t="str">
        <f t="shared" si="8"/>
        <v/>
      </c>
      <c r="E378" s="186" t="str">
        <f t="shared" si="7"/>
        <v>Specialisations</v>
      </c>
      <c r="F378" s="150"/>
      <c r="G378" s="150"/>
      <c r="H378" s="150"/>
    </row>
    <row r="379" spans="1:9">
      <c r="A379" s="132"/>
      <c r="B379" s="299" t="s">
        <v>285</v>
      </c>
      <c r="C379" s="300"/>
      <c r="D379" s="213">
        <f>SUM(D363:D378)</f>
        <v>0</v>
      </c>
      <c r="E379" s="216"/>
      <c r="F379" s="299" t="s">
        <v>286</v>
      </c>
      <c r="G379" s="300"/>
      <c r="H379" s="215">
        <f>SUM(H363:H378)</f>
        <v>0</v>
      </c>
    </row>
    <row r="380" spans="1:9">
      <c r="A380" s="132"/>
      <c r="C380" s="212" t="s">
        <v>287</v>
      </c>
      <c r="D380" s="152">
        <f>SUM(D379,H379)</f>
        <v>0</v>
      </c>
    </row>
    <row r="381" spans="1:9">
      <c r="A381" s="132"/>
      <c r="C381" s="212"/>
      <c r="D381" s="212"/>
    </row>
    <row r="382" spans="1:9" ht="16.5" thickBot="1">
      <c r="A382" s="25"/>
      <c r="B382" s="301" t="s">
        <v>474</v>
      </c>
      <c r="C382" s="301"/>
      <c r="D382" s="301"/>
      <c r="E382" s="301"/>
      <c r="F382" s="25"/>
      <c r="G382" s="25"/>
      <c r="H382" s="201"/>
      <c r="I382" s="25"/>
    </row>
    <row r="383" spans="1:9">
      <c r="A383" s="25"/>
      <c r="B383" s="302" t="s">
        <v>470</v>
      </c>
      <c r="C383" s="303"/>
      <c r="D383" s="286">
        <f>SUMIFS(D363:D378,E363:E378,"*A&amp;T*")</f>
        <v>0</v>
      </c>
      <c r="E383" s="25"/>
      <c r="F383" s="25"/>
      <c r="G383" s="25"/>
      <c r="H383" s="201"/>
      <c r="I383" s="25"/>
    </row>
    <row r="384" spans="1:9">
      <c r="A384" s="25"/>
      <c r="B384" s="311" t="s">
        <v>471</v>
      </c>
      <c r="C384" s="312"/>
      <c r="D384" s="286">
        <f>SUMIFS(D363:D378,E363:E378,"*AS*")</f>
        <v>0</v>
      </c>
      <c r="E384" s="25"/>
      <c r="F384" s="25"/>
      <c r="G384" s="25"/>
      <c r="H384" s="201"/>
      <c r="I384" s="25"/>
    </row>
    <row r="385" spans="1:9">
      <c r="A385" s="25"/>
      <c r="B385" s="311" t="s">
        <v>472</v>
      </c>
      <c r="C385" s="312"/>
      <c r="D385" s="286">
        <f>SUMIFS(D363:D378,E363:E378,"*MFoCS*")</f>
        <v>0</v>
      </c>
      <c r="E385" s="25"/>
      <c r="F385" s="25"/>
      <c r="G385" s="25"/>
      <c r="H385" s="201"/>
      <c r="I385" s="25"/>
    </row>
    <row r="386" spans="1:9" ht="16.5" thickBot="1">
      <c r="A386" s="25"/>
      <c r="B386" s="313" t="s">
        <v>473</v>
      </c>
      <c r="C386" s="314"/>
      <c r="D386" s="287">
        <f>SUMIFS(D363:D378,E363:E378,"*MP*")</f>
        <v>0</v>
      </c>
      <c r="E386" s="25"/>
      <c r="F386" s="25"/>
      <c r="G386" s="25"/>
      <c r="H386" s="201"/>
      <c r="I386" s="25"/>
    </row>
    <row r="387" spans="1:9">
      <c r="A387" s="25"/>
      <c r="B387" s="315" t="s">
        <v>475</v>
      </c>
      <c r="C387" s="316"/>
      <c r="D387" s="288" t="str">
        <f>IF(COUNTIFS(D383:D386,"&gt;11")&gt;0,"Yes","No")</f>
        <v>No</v>
      </c>
      <c r="E387" s="25"/>
      <c r="F387" s="25"/>
      <c r="G387" s="25"/>
      <c r="H387" s="201"/>
      <c r="I387" s="25"/>
    </row>
    <row r="388" spans="1:9" customFormat="1" ht="15"/>
    <row r="389" spans="1:9" s="25" customFormat="1" ht="15"/>
    <row r="390" spans="1:9">
      <c r="A390" s="132"/>
      <c r="D390" s="25"/>
      <c r="I390" s="25"/>
    </row>
    <row r="391" spans="1:9" ht="16.5" thickBot="1">
      <c r="A391" s="132"/>
      <c r="B391" s="164"/>
      <c r="C391" s="173" t="s">
        <v>347</v>
      </c>
      <c r="D391" s="141"/>
      <c r="E391" s="174"/>
      <c r="F391" s="164"/>
      <c r="G391" s="172"/>
    </row>
    <row r="392" spans="1:9">
      <c r="A392" s="132"/>
      <c r="B392" s="304" t="s">
        <v>242</v>
      </c>
      <c r="C392" s="305"/>
      <c r="D392" s="175">
        <v>12</v>
      </c>
      <c r="E392" s="306"/>
      <c r="F392" s="307"/>
      <c r="G392" s="176"/>
    </row>
    <row r="393" spans="1:9">
      <c r="A393" s="132"/>
      <c r="C393" s="177" t="s">
        <v>3</v>
      </c>
      <c r="D393" s="178">
        <f>SUM(D392)</f>
        <v>12</v>
      </c>
      <c r="G393" s="133"/>
    </row>
    <row r="394" spans="1:9">
      <c r="A394" s="132"/>
    </row>
    <row r="395" spans="1:9">
      <c r="A395" s="132"/>
    </row>
    <row r="396" spans="1:9">
      <c r="A396" s="132"/>
      <c r="C396" s="179" t="s">
        <v>243</v>
      </c>
      <c r="D396" s="180">
        <f>SUM(D393,D380,D356,D343)</f>
        <v>66</v>
      </c>
    </row>
    <row r="397" spans="1:9">
      <c r="A397" s="132"/>
      <c r="B397" s="25"/>
      <c r="C397" s="25"/>
      <c r="D397" s="25"/>
    </row>
    <row r="398" spans="1:9">
      <c r="A398" s="132"/>
      <c r="B398" s="251" t="s">
        <v>385</v>
      </c>
      <c r="C398" s="247"/>
      <c r="D398" s="247"/>
      <c r="E398" s="248"/>
      <c r="F398" s="249"/>
      <c r="G398" s="249"/>
    </row>
    <row r="399" spans="1:9">
      <c r="A399" s="132"/>
      <c r="B399" s="246"/>
      <c r="C399" s="247"/>
      <c r="D399" s="247"/>
      <c r="E399" s="248"/>
      <c r="F399" s="249"/>
      <c r="G399" s="249"/>
    </row>
    <row r="400" spans="1:9">
      <c r="A400" s="132"/>
      <c r="B400" s="246" t="s">
        <v>386</v>
      </c>
      <c r="C400" s="247"/>
      <c r="D400" s="247"/>
      <c r="E400" s="248"/>
      <c r="F400" s="249"/>
      <c r="G400" s="249"/>
    </row>
    <row r="401" spans="1:9">
      <c r="A401" s="132"/>
      <c r="B401" s="250" t="s">
        <v>387</v>
      </c>
      <c r="C401" s="247"/>
      <c r="D401" s="247"/>
      <c r="E401" s="248"/>
      <c r="F401" s="249"/>
      <c r="G401" s="249"/>
    </row>
    <row r="402" spans="1:9">
      <c r="A402" s="132"/>
      <c r="B402" s="250" t="s">
        <v>388</v>
      </c>
      <c r="C402" s="247"/>
      <c r="D402" s="247"/>
      <c r="E402" s="248"/>
      <c r="F402" s="249"/>
      <c r="G402" s="249"/>
    </row>
    <row r="403" spans="1:9">
      <c r="A403" s="132"/>
      <c r="B403" s="245"/>
      <c r="C403" s="25"/>
      <c r="D403" s="25"/>
    </row>
    <row r="404" spans="1:9">
      <c r="A404" s="132"/>
      <c r="B404" s="25"/>
      <c r="C404" s="25"/>
      <c r="D404" s="25"/>
    </row>
    <row r="405" spans="1:9">
      <c r="A405" s="33"/>
      <c r="B405" s="14" t="s">
        <v>348</v>
      </c>
      <c r="C405" s="14"/>
      <c r="D405" s="16"/>
      <c r="E405" s="34"/>
      <c r="F405" s="3"/>
      <c r="G405" s="11"/>
      <c r="H405" s="3"/>
      <c r="I405" s="3"/>
    </row>
    <row r="406" spans="1:9">
      <c r="A406" s="33"/>
      <c r="B406" s="27" t="s">
        <v>0</v>
      </c>
      <c r="C406" s="27" t="s">
        <v>1</v>
      </c>
      <c r="D406" s="29" t="s">
        <v>2</v>
      </c>
      <c r="E406" s="15"/>
      <c r="F406" s="3"/>
      <c r="G406" s="11"/>
      <c r="H406" s="3"/>
      <c r="I406" s="3"/>
    </row>
    <row r="407" spans="1:9">
      <c r="A407" s="33"/>
      <c r="B407" s="8"/>
      <c r="C407" s="8"/>
      <c r="D407" s="13"/>
      <c r="E407" s="37"/>
      <c r="F407" s="3"/>
      <c r="G407" s="11"/>
      <c r="H407" s="3"/>
      <c r="I407" s="3"/>
    </row>
    <row r="408" spans="1:9">
      <c r="A408" s="33"/>
      <c r="B408" s="8"/>
      <c r="C408" s="8"/>
      <c r="D408" s="13"/>
      <c r="E408" s="37"/>
      <c r="F408" s="3"/>
      <c r="G408" s="11"/>
      <c r="H408" s="3"/>
      <c r="I408" s="3"/>
    </row>
    <row r="409" spans="1:9">
      <c r="A409" s="33"/>
      <c r="B409" s="8"/>
      <c r="C409" s="8"/>
      <c r="D409" s="13"/>
      <c r="E409" s="37"/>
      <c r="F409" s="3"/>
      <c r="G409" s="11"/>
      <c r="H409" s="3"/>
      <c r="I409" s="3"/>
    </row>
    <row r="410" spans="1:9">
      <c r="A410" s="33"/>
      <c r="B410" s="8"/>
      <c r="C410" s="8"/>
      <c r="D410" s="13"/>
      <c r="E410" s="37"/>
      <c r="F410" s="3"/>
      <c r="G410" s="11"/>
      <c r="H410" s="3"/>
      <c r="I410" s="3"/>
    </row>
    <row r="411" spans="1:9">
      <c r="A411" s="33"/>
      <c r="B411" s="8"/>
      <c r="C411" s="8"/>
      <c r="D411" s="13"/>
      <c r="E411" s="37"/>
      <c r="F411" s="3"/>
      <c r="G411" s="11"/>
      <c r="H411" s="3"/>
      <c r="I411" s="3"/>
    </row>
    <row r="412" spans="1:9">
      <c r="A412" s="33"/>
      <c r="B412" s="8"/>
      <c r="C412" s="8"/>
      <c r="D412" s="13"/>
      <c r="E412" s="37"/>
      <c r="F412" s="3"/>
      <c r="G412" s="11"/>
      <c r="H412" s="3"/>
      <c r="I412" s="3"/>
    </row>
    <row r="413" spans="1:9">
      <c r="A413" s="33"/>
      <c r="B413" s="8"/>
      <c r="C413" s="8"/>
      <c r="D413" s="13"/>
      <c r="E413" s="37"/>
      <c r="F413" s="3"/>
      <c r="G413" s="11"/>
      <c r="H413" s="3"/>
      <c r="I413" s="3"/>
    </row>
    <row r="414" spans="1:9">
      <c r="A414" s="33"/>
      <c r="B414" s="8"/>
      <c r="C414" s="8"/>
      <c r="D414" s="13"/>
      <c r="E414" s="37"/>
      <c r="F414" s="3"/>
      <c r="G414" s="11"/>
      <c r="H414" s="3"/>
      <c r="I414" s="3"/>
    </row>
    <row r="415" spans="1:9">
      <c r="A415" s="33"/>
      <c r="B415" s="7"/>
      <c r="C415" s="7"/>
      <c r="D415" s="12"/>
      <c r="E415" s="37"/>
      <c r="F415" s="3"/>
      <c r="G415" s="11"/>
      <c r="H415" s="3"/>
      <c r="I415" s="3"/>
    </row>
    <row r="416" spans="1:9">
      <c r="A416" s="33"/>
      <c r="B416" s="7"/>
      <c r="C416" s="7"/>
      <c r="D416" s="12"/>
      <c r="E416" s="37"/>
      <c r="F416" s="3"/>
      <c r="G416" s="11"/>
      <c r="H416" s="3"/>
      <c r="I416" s="3"/>
    </row>
    <row r="417" spans="1:9">
      <c r="A417" s="33"/>
      <c r="B417" s="35"/>
      <c r="C417" s="36" t="s">
        <v>3</v>
      </c>
      <c r="D417" s="30">
        <f>SUM(D407:D416)</f>
        <v>0</v>
      </c>
      <c r="E417" s="38"/>
      <c r="F417" s="3"/>
      <c r="G417" s="11"/>
      <c r="H417" s="3"/>
      <c r="I417" s="3"/>
    </row>
    <row r="418" spans="1:9">
      <c r="A418" s="33"/>
      <c r="B418" s="3"/>
      <c r="C418" s="3"/>
      <c r="D418" s="11"/>
      <c r="E418" s="3"/>
      <c r="F418" s="3"/>
      <c r="G418" s="11"/>
      <c r="H418" s="3"/>
      <c r="I418" s="3"/>
    </row>
    <row r="419" spans="1:9">
      <c r="A419" s="33"/>
      <c r="B419" s="308" t="s">
        <v>349</v>
      </c>
      <c r="C419" s="308"/>
      <c r="D419" s="180">
        <f>SUM(D417,D396)</f>
        <v>66</v>
      </c>
      <c r="E419" s="25"/>
      <c r="F419" s="3"/>
      <c r="G419" s="11"/>
      <c r="H419" s="3"/>
      <c r="I419" s="3"/>
    </row>
    <row r="420" spans="1:9" s="25" customFormat="1" ht="15"/>
    <row r="421" spans="1:9" s="25" customFormat="1" ht="15"/>
    <row r="422" spans="1:9" s="25" customFormat="1">
      <c r="B422" s="309" t="s">
        <v>384</v>
      </c>
      <c r="C422" s="309"/>
      <c r="D422" s="309"/>
    </row>
    <row r="423" spans="1:9" s="25" customFormat="1" ht="15">
      <c r="B423" s="310"/>
      <c r="C423" s="310"/>
      <c r="D423" s="310"/>
      <c r="E423" s="310"/>
      <c r="F423" s="310"/>
      <c r="G423" s="310"/>
    </row>
    <row r="424" spans="1:9" s="25" customFormat="1" ht="15">
      <c r="B424" s="310"/>
      <c r="C424" s="310"/>
      <c r="D424" s="310"/>
      <c r="E424" s="310"/>
      <c r="F424" s="310"/>
      <c r="G424" s="310"/>
    </row>
    <row r="425" spans="1:9" s="25" customFormat="1" ht="15">
      <c r="B425" s="310"/>
      <c r="C425" s="310"/>
      <c r="D425" s="310"/>
      <c r="E425" s="310"/>
      <c r="F425" s="310"/>
      <c r="G425" s="310"/>
    </row>
    <row r="426" spans="1:9" s="25" customFormat="1" ht="15">
      <c r="B426" s="310"/>
      <c r="C426" s="310"/>
      <c r="D426" s="310"/>
      <c r="E426" s="310"/>
      <c r="F426" s="310"/>
      <c r="G426" s="310"/>
    </row>
    <row r="427" spans="1:9" s="25" customFormat="1" ht="15">
      <c r="B427" s="310"/>
      <c r="C427" s="310"/>
      <c r="D427" s="310"/>
      <c r="E427" s="310"/>
      <c r="F427" s="310"/>
      <c r="G427" s="310"/>
    </row>
    <row r="428" spans="1:9">
      <c r="A428" s="181" t="s">
        <v>8</v>
      </c>
    </row>
    <row r="429" spans="1:9">
      <c r="A429" s="193">
        <v>2017</v>
      </c>
    </row>
    <row r="430" spans="1:9">
      <c r="A430" s="132"/>
      <c r="B430" s="134" t="s">
        <v>460</v>
      </c>
    </row>
    <row r="431" spans="1:9">
      <c r="A431" s="132"/>
      <c r="B431" s="135" t="s">
        <v>246</v>
      </c>
      <c r="D431" s="136"/>
      <c r="E431" s="137"/>
      <c r="I431" s="133"/>
    </row>
    <row r="432" spans="1:9">
      <c r="A432" s="132"/>
    </row>
    <row r="433" spans="1:9">
      <c r="A433" s="132"/>
      <c r="B433" s="138" t="s">
        <v>16</v>
      </c>
      <c r="C433" s="324"/>
      <c r="D433" s="324"/>
      <c r="E433" s="324"/>
      <c r="F433" s="324"/>
      <c r="G433" s="324"/>
      <c r="H433" s="324"/>
      <c r="I433" s="324"/>
    </row>
    <row r="434" spans="1:9">
      <c r="A434" s="132"/>
      <c r="B434" s="138" t="s">
        <v>17</v>
      </c>
      <c r="C434" s="324"/>
      <c r="D434" s="324"/>
      <c r="E434" s="324"/>
      <c r="F434" s="324"/>
      <c r="G434" s="324"/>
      <c r="H434" s="324"/>
      <c r="I434" s="324"/>
    </row>
    <row r="435" spans="1:9">
      <c r="A435" s="132"/>
      <c r="B435" s="138" t="s">
        <v>4</v>
      </c>
      <c r="C435" s="324"/>
      <c r="D435" s="324"/>
      <c r="E435" s="324"/>
      <c r="F435" s="324"/>
      <c r="G435" s="324"/>
      <c r="H435" s="324"/>
      <c r="I435" s="324"/>
    </row>
    <row r="436" spans="1:9">
      <c r="A436" s="132"/>
      <c r="B436" s="138" t="s">
        <v>5</v>
      </c>
      <c r="C436" s="324"/>
      <c r="D436" s="324"/>
      <c r="E436" s="324"/>
      <c r="F436" s="324"/>
      <c r="G436" s="324"/>
      <c r="H436" s="324"/>
      <c r="I436" s="324"/>
    </row>
    <row r="437" spans="1:9">
      <c r="A437" s="132"/>
      <c r="B437" s="138" t="s">
        <v>249</v>
      </c>
      <c r="C437" s="317" t="s">
        <v>443</v>
      </c>
      <c r="D437" s="317"/>
      <c r="E437" s="317"/>
      <c r="F437" s="317"/>
      <c r="G437" s="317"/>
      <c r="H437" s="317"/>
      <c r="I437" s="317"/>
    </row>
    <row r="438" spans="1:9">
      <c r="A438" s="132"/>
      <c r="B438" s="139"/>
    </row>
    <row r="439" spans="1:9" ht="16.5" thickBot="1">
      <c r="A439" s="132"/>
      <c r="B439" s="140"/>
      <c r="C439" s="140" t="s">
        <v>462</v>
      </c>
      <c r="D439" s="284"/>
      <c r="E439" s="284"/>
      <c r="F439" s="140"/>
      <c r="G439" s="284" t="s">
        <v>40</v>
      </c>
      <c r="H439" s="284"/>
      <c r="I439" s="142"/>
    </row>
    <row r="440" spans="1:9">
      <c r="A440" s="132"/>
      <c r="B440" s="143" t="s">
        <v>37</v>
      </c>
      <c r="C440" s="144" t="s">
        <v>38</v>
      </c>
      <c r="D440" s="145" t="s">
        <v>2</v>
      </c>
      <c r="E440" s="146" t="s">
        <v>241</v>
      </c>
      <c r="F440" s="147" t="s">
        <v>37</v>
      </c>
      <c r="G440" s="145" t="s">
        <v>38</v>
      </c>
      <c r="H440" s="145" t="s">
        <v>2</v>
      </c>
    </row>
    <row r="441" spans="1:9">
      <c r="A441" s="132"/>
      <c r="B441" s="222" t="s">
        <v>258</v>
      </c>
      <c r="C441" s="222" t="s">
        <v>358</v>
      </c>
      <c r="D441" s="223">
        <v>3</v>
      </c>
      <c r="E441" s="81" t="s">
        <v>44</v>
      </c>
      <c r="F441" s="148"/>
      <c r="G441" s="148"/>
      <c r="H441" s="149"/>
    </row>
    <row r="442" spans="1:9">
      <c r="A442" s="132"/>
      <c r="B442" s="222" t="s">
        <v>169</v>
      </c>
      <c r="C442" s="222" t="s">
        <v>461</v>
      </c>
      <c r="D442" s="223">
        <v>6</v>
      </c>
      <c r="E442" s="81" t="s">
        <v>44</v>
      </c>
      <c r="F442" s="148"/>
      <c r="G442" s="148"/>
      <c r="H442" s="149"/>
    </row>
    <row r="443" spans="1:9">
      <c r="A443" s="132"/>
      <c r="B443" s="222" t="s">
        <v>256</v>
      </c>
      <c r="C443" s="222" t="s">
        <v>357</v>
      </c>
      <c r="D443" s="223">
        <v>3</v>
      </c>
      <c r="E443" s="81" t="s">
        <v>44</v>
      </c>
      <c r="F443" s="148"/>
      <c r="G443" s="148"/>
      <c r="H443" s="149"/>
    </row>
    <row r="444" spans="1:9">
      <c r="A444" s="132"/>
      <c r="B444" s="222" t="s">
        <v>162</v>
      </c>
      <c r="C444" s="222" t="s">
        <v>253</v>
      </c>
      <c r="D444" s="223">
        <v>3</v>
      </c>
      <c r="E444" s="81" t="s">
        <v>44</v>
      </c>
      <c r="F444" s="148"/>
      <c r="G444" s="148"/>
      <c r="H444" s="149"/>
    </row>
    <row r="445" spans="1:9">
      <c r="A445" s="132"/>
      <c r="B445" s="222" t="s">
        <v>280</v>
      </c>
      <c r="C445" s="222" t="s">
        <v>274</v>
      </c>
      <c r="D445" s="223">
        <v>6</v>
      </c>
      <c r="E445" s="81" t="s">
        <v>44</v>
      </c>
      <c r="F445" s="148"/>
      <c r="G445" s="148"/>
      <c r="H445" s="149"/>
    </row>
    <row r="446" spans="1:9">
      <c r="A446" s="132"/>
      <c r="B446" s="222" t="s">
        <v>273</v>
      </c>
      <c r="C446" s="222" t="s">
        <v>270</v>
      </c>
      <c r="D446" s="223">
        <v>6</v>
      </c>
      <c r="E446" s="53" t="s">
        <v>44</v>
      </c>
      <c r="F446" s="148"/>
      <c r="G446" s="148"/>
      <c r="H446" s="149"/>
    </row>
    <row r="447" spans="1:9">
      <c r="A447" s="132"/>
      <c r="B447" s="222" t="s">
        <v>170</v>
      </c>
      <c r="C447" s="222" t="s">
        <v>276</v>
      </c>
      <c r="D447" s="223">
        <v>6</v>
      </c>
      <c r="E447" s="53" t="s">
        <v>44</v>
      </c>
      <c r="F447" s="148"/>
      <c r="G447" s="148"/>
      <c r="H447" s="149"/>
    </row>
    <row r="448" spans="1:9">
      <c r="A448" s="132"/>
      <c r="B448" s="222" t="s">
        <v>262</v>
      </c>
      <c r="C448" s="222" t="s">
        <v>263</v>
      </c>
      <c r="D448" s="223">
        <v>6</v>
      </c>
      <c r="E448" s="53" t="s">
        <v>44</v>
      </c>
      <c r="F448" s="148"/>
      <c r="G448" s="148"/>
      <c r="H448" s="149"/>
    </row>
    <row r="449" spans="1:9">
      <c r="A449" s="132"/>
      <c r="B449" s="222" t="s">
        <v>260</v>
      </c>
      <c r="C449" s="222" t="s">
        <v>261</v>
      </c>
      <c r="D449" s="223">
        <v>6</v>
      </c>
      <c r="E449" s="53" t="s">
        <v>44</v>
      </c>
      <c r="F449" s="148"/>
      <c r="G449" s="148"/>
      <c r="H449" s="149"/>
    </row>
    <row r="450" spans="1:9">
      <c r="A450" s="132"/>
      <c r="B450" s="222" t="s">
        <v>13</v>
      </c>
      <c r="C450" s="222" t="s">
        <v>359</v>
      </c>
      <c r="D450" s="223">
        <v>3</v>
      </c>
      <c r="E450" s="221" t="s">
        <v>44</v>
      </c>
      <c r="F450" s="148"/>
      <c r="G450" s="148"/>
      <c r="H450" s="149"/>
    </row>
    <row r="451" spans="1:9">
      <c r="A451" s="132"/>
      <c r="B451" s="222" t="s">
        <v>264</v>
      </c>
      <c r="C451" s="222" t="s">
        <v>457</v>
      </c>
      <c r="D451" s="223">
        <v>3</v>
      </c>
      <c r="E451" s="221" t="s">
        <v>44</v>
      </c>
      <c r="F451" s="148"/>
      <c r="G451" s="148"/>
      <c r="H451" s="149"/>
    </row>
    <row r="452" spans="1:9">
      <c r="A452" s="132"/>
      <c r="B452" s="222" t="s">
        <v>18</v>
      </c>
      <c r="C452" s="222" t="s">
        <v>250</v>
      </c>
      <c r="D452" s="223">
        <v>3</v>
      </c>
      <c r="E452" s="221" t="s">
        <v>44</v>
      </c>
      <c r="F452" s="148"/>
      <c r="G452" s="148"/>
      <c r="H452" s="149"/>
    </row>
    <row r="453" spans="1:9">
      <c r="A453" s="132"/>
      <c r="B453" s="325" t="s">
        <v>266</v>
      </c>
      <c r="C453" s="326"/>
      <c r="D453" s="326"/>
      <c r="E453" s="327"/>
      <c r="F453" s="148"/>
      <c r="G453" s="148"/>
      <c r="H453" s="149"/>
    </row>
    <row r="454" spans="1:9">
      <c r="A454" s="132"/>
      <c r="B454" s="208" t="s">
        <v>166</v>
      </c>
      <c r="C454" s="208" t="s">
        <v>254</v>
      </c>
      <c r="D454" s="209">
        <v>3</v>
      </c>
      <c r="E454" s="13"/>
      <c r="F454" s="148"/>
      <c r="G454" s="148"/>
      <c r="H454" s="149"/>
    </row>
    <row r="455" spans="1:9">
      <c r="A455" s="132"/>
      <c r="B455" s="208" t="s">
        <v>517</v>
      </c>
      <c r="C455" s="208" t="s">
        <v>518</v>
      </c>
      <c r="D455" s="209">
        <v>6</v>
      </c>
      <c r="E455" s="13"/>
      <c r="F455" s="148"/>
      <c r="G455" s="148"/>
      <c r="H455" s="149"/>
    </row>
    <row r="456" spans="1:9">
      <c r="A456" s="132"/>
      <c r="C456" s="151" t="s">
        <v>15</v>
      </c>
      <c r="D456" s="152">
        <f>SUMIFS(D441:D455,H441:H455,"",E441:E455,"Yes")+SUM(H441:H455)</f>
        <v>54</v>
      </c>
      <c r="E456" s="137"/>
      <c r="I456" s="133"/>
    </row>
    <row r="457" spans="1:9">
      <c r="A457" s="132"/>
    </row>
    <row r="458" spans="1:9">
      <c r="A458" s="132"/>
      <c r="B458" s="25"/>
      <c r="C458" s="25"/>
      <c r="D458" s="25"/>
      <c r="E458" s="25"/>
      <c r="F458" s="25"/>
      <c r="G458" s="25"/>
      <c r="H458" s="25"/>
    </row>
    <row r="459" spans="1:9">
      <c r="A459" s="132"/>
      <c r="B459" s="25"/>
      <c r="C459" s="25"/>
      <c r="D459" s="25"/>
      <c r="E459" s="25"/>
      <c r="F459" s="25"/>
      <c r="G459" s="25"/>
      <c r="H459" s="25"/>
    </row>
    <row r="460" spans="1:9">
      <c r="A460" s="132"/>
      <c r="B460" s="25"/>
      <c r="C460" s="25"/>
      <c r="D460" s="25"/>
      <c r="E460" s="25"/>
      <c r="F460" s="25"/>
      <c r="G460" s="25"/>
      <c r="H460" s="25"/>
    </row>
    <row r="461" spans="1:9">
      <c r="A461" s="132"/>
      <c r="B461" s="25"/>
      <c r="C461" s="25"/>
      <c r="D461" s="25"/>
      <c r="E461" s="25"/>
      <c r="F461" s="25"/>
      <c r="G461" s="25"/>
      <c r="H461" s="25"/>
    </row>
    <row r="462" spans="1:9" ht="16.5" thickBot="1">
      <c r="A462" s="132"/>
      <c r="B462" s="253"/>
      <c r="C462" s="171" t="s">
        <v>391</v>
      </c>
      <c r="D462" s="172"/>
      <c r="G462" s="25"/>
      <c r="H462" s="25"/>
    </row>
    <row r="463" spans="1:9">
      <c r="A463" s="132"/>
      <c r="B463" s="153" t="s">
        <v>392</v>
      </c>
    </row>
    <row r="464" spans="1:9">
      <c r="A464" s="132"/>
      <c r="B464" s="154" t="s">
        <v>23</v>
      </c>
      <c r="C464" s="155" t="s">
        <v>24</v>
      </c>
      <c r="D464" s="156"/>
      <c r="E464" s="157"/>
      <c r="G464" s="158"/>
      <c r="H464" s="159"/>
    </row>
    <row r="465" spans="1:8" ht="16.5" thickBot="1">
      <c r="A465" s="132"/>
      <c r="B465" s="160" t="s">
        <v>49</v>
      </c>
      <c r="C465" s="161" t="s">
        <v>42</v>
      </c>
      <c r="D465" s="162"/>
      <c r="E465" s="163"/>
      <c r="F465" s="164"/>
      <c r="G465" s="284" t="s">
        <v>22</v>
      </c>
      <c r="H465" s="284"/>
    </row>
    <row r="466" spans="1:8">
      <c r="A466" s="132" t="s">
        <v>393</v>
      </c>
      <c r="B466" s="143" t="s">
        <v>37</v>
      </c>
      <c r="C466" s="165" t="s">
        <v>38</v>
      </c>
      <c r="D466" s="192" t="s">
        <v>2</v>
      </c>
      <c r="E466" s="187" t="s">
        <v>48</v>
      </c>
      <c r="F466" s="143" t="s">
        <v>37</v>
      </c>
      <c r="G466" s="166" t="s">
        <v>38</v>
      </c>
      <c r="H466" s="145" t="s">
        <v>2</v>
      </c>
    </row>
    <row r="467" spans="1:8">
      <c r="A467" s="132"/>
      <c r="B467" s="167"/>
      <c r="C467" s="167"/>
      <c r="D467" s="150"/>
      <c r="E467" s="168"/>
      <c r="F467" s="150"/>
      <c r="G467" s="150"/>
      <c r="H467" s="150"/>
    </row>
    <row r="468" spans="1:8">
      <c r="A468" s="132"/>
      <c r="B468" s="167"/>
      <c r="C468" s="167"/>
      <c r="D468" s="150"/>
      <c r="E468" s="168"/>
      <c r="F468" s="150"/>
      <c r="G468" s="150"/>
      <c r="H468" s="150"/>
    </row>
    <row r="469" spans="1:8">
      <c r="A469" s="132" t="s">
        <v>394</v>
      </c>
      <c r="B469" s="169"/>
      <c r="C469" s="151" t="s">
        <v>15</v>
      </c>
      <c r="D469" s="152">
        <f>SUMIFS(D466:D468,H466:H468,"",E466:E468,"Yes")+SUM(H466:H468)</f>
        <v>0</v>
      </c>
      <c r="E469" s="137"/>
      <c r="F469" s="135"/>
      <c r="G469" s="135"/>
      <c r="H469" s="170"/>
    </row>
    <row r="470" spans="1:8">
      <c r="A470" s="132"/>
      <c r="B470" s="55" t="s">
        <v>247</v>
      </c>
    </row>
    <row r="471" spans="1:8">
      <c r="A471" s="132"/>
      <c r="B471" s="153" t="s">
        <v>283</v>
      </c>
      <c r="C471" s="153"/>
      <c r="D471" s="220"/>
      <c r="E471" s="220"/>
      <c r="F471" s="153"/>
      <c r="G471" s="153"/>
      <c r="H471" s="220"/>
    </row>
    <row r="472" spans="1:8">
      <c r="A472" s="132"/>
      <c r="B472" s="153" t="s">
        <v>284</v>
      </c>
      <c r="C472" s="153"/>
      <c r="D472" s="220"/>
      <c r="E472" s="220"/>
      <c r="F472" s="153"/>
      <c r="G472" s="153"/>
      <c r="H472" s="220"/>
    </row>
    <row r="473" spans="1:8">
      <c r="A473" s="132"/>
      <c r="B473" s="153"/>
      <c r="C473" s="153"/>
      <c r="D473" s="220"/>
      <c r="E473" s="220"/>
      <c r="F473" s="153"/>
      <c r="G473" s="153"/>
      <c r="H473" s="220"/>
    </row>
    <row r="474" spans="1:8" ht="16.5" thickBot="1">
      <c r="A474" s="132"/>
      <c r="B474" s="298" t="s">
        <v>378</v>
      </c>
      <c r="C474" s="298"/>
      <c r="D474" s="298"/>
      <c r="E474" s="172"/>
      <c r="F474" s="298" t="s">
        <v>282</v>
      </c>
      <c r="G474" s="298"/>
      <c r="H474" s="298"/>
    </row>
    <row r="475" spans="1:8">
      <c r="A475" s="132"/>
      <c r="B475" s="143" t="s">
        <v>37</v>
      </c>
      <c r="C475" s="165" t="s">
        <v>38</v>
      </c>
      <c r="D475" s="192" t="s">
        <v>2</v>
      </c>
      <c r="E475" s="185" t="s">
        <v>48</v>
      </c>
      <c r="F475" s="143" t="s">
        <v>37</v>
      </c>
      <c r="G475" s="143" t="s">
        <v>38</v>
      </c>
      <c r="H475" s="192" t="s">
        <v>2</v>
      </c>
    </row>
    <row r="476" spans="1:8">
      <c r="A476" s="132"/>
      <c r="B476" s="183" t="str">
        <f t="shared" ref="B476:B491" si="9">VLOOKUP(C476,math_electives_2016_lijst,2,0)</f>
        <v/>
      </c>
      <c r="C476" s="167" t="s">
        <v>346</v>
      </c>
      <c r="D476" s="214" t="str">
        <f t="shared" ref="D476:D491" si="10">VLOOKUP(C476,math_electives_2016_lijst,3,0)</f>
        <v/>
      </c>
      <c r="E476" s="186">
        <f t="shared" ref="E476:E491" si="11">VLOOKUP(C476,math_electives_2016_lijst,4,0)</f>
        <v>0</v>
      </c>
      <c r="F476" s="150"/>
      <c r="G476" s="150"/>
      <c r="H476" s="150"/>
    </row>
    <row r="477" spans="1:8">
      <c r="A477" s="132"/>
      <c r="B477" s="183" t="str">
        <f t="shared" si="9"/>
        <v/>
      </c>
      <c r="C477" s="167" t="s">
        <v>6</v>
      </c>
      <c r="D477" s="214" t="str">
        <f t="shared" si="10"/>
        <v/>
      </c>
      <c r="E477" s="186" t="str">
        <f t="shared" si="11"/>
        <v>Specialisations</v>
      </c>
      <c r="F477" s="150"/>
      <c r="G477" s="150"/>
      <c r="H477" s="150"/>
    </row>
    <row r="478" spans="1:8">
      <c r="A478" s="132"/>
      <c r="B478" s="183" t="str">
        <f t="shared" si="9"/>
        <v/>
      </c>
      <c r="C478" s="167" t="s">
        <v>6</v>
      </c>
      <c r="D478" s="214" t="str">
        <f t="shared" si="10"/>
        <v/>
      </c>
      <c r="E478" s="186" t="str">
        <f t="shared" si="11"/>
        <v>Specialisations</v>
      </c>
      <c r="F478" s="150"/>
      <c r="G478" s="150"/>
      <c r="H478" s="150"/>
    </row>
    <row r="479" spans="1:8">
      <c r="A479" s="132"/>
      <c r="B479" s="183" t="str">
        <f t="shared" si="9"/>
        <v/>
      </c>
      <c r="C479" s="167" t="s">
        <v>6</v>
      </c>
      <c r="D479" s="214" t="str">
        <f t="shared" si="10"/>
        <v/>
      </c>
      <c r="E479" s="186" t="str">
        <f t="shared" si="11"/>
        <v>Specialisations</v>
      </c>
      <c r="F479" s="150"/>
      <c r="G479" s="150"/>
      <c r="H479" s="150"/>
    </row>
    <row r="480" spans="1:8">
      <c r="A480" s="132"/>
      <c r="B480" s="183" t="str">
        <f t="shared" si="9"/>
        <v/>
      </c>
      <c r="C480" s="167" t="s">
        <v>6</v>
      </c>
      <c r="D480" s="214" t="str">
        <f t="shared" si="10"/>
        <v/>
      </c>
      <c r="E480" s="186" t="str">
        <f t="shared" si="11"/>
        <v>Specialisations</v>
      </c>
      <c r="F480" s="150"/>
      <c r="G480" s="150"/>
      <c r="H480" s="150"/>
    </row>
    <row r="481" spans="1:9">
      <c r="A481" s="132"/>
      <c r="B481" s="183" t="str">
        <f t="shared" si="9"/>
        <v/>
      </c>
      <c r="C481" s="167" t="s">
        <v>6</v>
      </c>
      <c r="D481" s="214" t="str">
        <f t="shared" si="10"/>
        <v/>
      </c>
      <c r="E481" s="186" t="str">
        <f t="shared" si="11"/>
        <v>Specialisations</v>
      </c>
      <c r="F481" s="150"/>
      <c r="G481" s="150"/>
      <c r="H481" s="150"/>
    </row>
    <row r="482" spans="1:9">
      <c r="A482" s="132"/>
      <c r="B482" s="183" t="str">
        <f t="shared" si="9"/>
        <v/>
      </c>
      <c r="C482" s="167" t="s">
        <v>6</v>
      </c>
      <c r="D482" s="214" t="str">
        <f t="shared" si="10"/>
        <v/>
      </c>
      <c r="E482" s="186" t="str">
        <f t="shared" si="11"/>
        <v>Specialisations</v>
      </c>
      <c r="F482" s="150"/>
      <c r="G482" s="150"/>
      <c r="H482" s="150"/>
    </row>
    <row r="483" spans="1:9">
      <c r="A483" s="132"/>
      <c r="B483" s="183" t="str">
        <f t="shared" si="9"/>
        <v/>
      </c>
      <c r="C483" s="167" t="s">
        <v>6</v>
      </c>
      <c r="D483" s="214" t="str">
        <f t="shared" si="10"/>
        <v/>
      </c>
      <c r="E483" s="186" t="str">
        <f t="shared" si="11"/>
        <v>Specialisations</v>
      </c>
      <c r="F483" s="150"/>
      <c r="G483" s="150"/>
      <c r="H483" s="150"/>
    </row>
    <row r="484" spans="1:9">
      <c r="A484" s="132"/>
      <c r="B484" s="183" t="str">
        <f t="shared" si="9"/>
        <v/>
      </c>
      <c r="C484" s="167" t="s">
        <v>6</v>
      </c>
      <c r="D484" s="214" t="str">
        <f t="shared" si="10"/>
        <v/>
      </c>
      <c r="E484" s="186" t="str">
        <f t="shared" si="11"/>
        <v>Specialisations</v>
      </c>
      <c r="F484" s="150"/>
      <c r="G484" s="150"/>
      <c r="H484" s="150"/>
    </row>
    <row r="485" spans="1:9">
      <c r="A485" s="132"/>
      <c r="B485" s="183" t="str">
        <f t="shared" si="9"/>
        <v/>
      </c>
      <c r="C485" s="167" t="s">
        <v>6</v>
      </c>
      <c r="D485" s="214" t="str">
        <f t="shared" si="10"/>
        <v/>
      </c>
      <c r="E485" s="186" t="str">
        <f t="shared" si="11"/>
        <v>Specialisations</v>
      </c>
      <c r="F485" s="150"/>
      <c r="G485" s="150"/>
      <c r="H485" s="150"/>
    </row>
    <row r="486" spans="1:9">
      <c r="A486" s="132"/>
      <c r="B486" s="183" t="str">
        <f t="shared" si="9"/>
        <v/>
      </c>
      <c r="C486" s="167" t="s">
        <v>6</v>
      </c>
      <c r="D486" s="214" t="str">
        <f t="shared" si="10"/>
        <v/>
      </c>
      <c r="E486" s="186" t="str">
        <f t="shared" si="11"/>
        <v>Specialisations</v>
      </c>
      <c r="F486" s="150"/>
      <c r="G486" s="150"/>
      <c r="H486" s="150"/>
    </row>
    <row r="487" spans="1:9">
      <c r="A487" s="132"/>
      <c r="B487" s="183" t="str">
        <f t="shared" si="9"/>
        <v/>
      </c>
      <c r="C487" s="167" t="s">
        <v>6</v>
      </c>
      <c r="D487" s="214" t="str">
        <f t="shared" si="10"/>
        <v/>
      </c>
      <c r="E487" s="186" t="str">
        <f t="shared" si="11"/>
        <v>Specialisations</v>
      </c>
      <c r="F487" s="150"/>
      <c r="G487" s="150"/>
      <c r="H487" s="150"/>
    </row>
    <row r="488" spans="1:9">
      <c r="A488" s="132"/>
      <c r="B488" s="183" t="str">
        <f t="shared" si="9"/>
        <v/>
      </c>
      <c r="C488" s="167" t="s">
        <v>6</v>
      </c>
      <c r="D488" s="214" t="str">
        <f t="shared" si="10"/>
        <v/>
      </c>
      <c r="E488" s="186" t="str">
        <f t="shared" si="11"/>
        <v>Specialisations</v>
      </c>
      <c r="F488" s="150"/>
      <c r="G488" s="150"/>
      <c r="H488" s="150"/>
    </row>
    <row r="489" spans="1:9">
      <c r="A489" s="132"/>
      <c r="B489" s="183" t="str">
        <f t="shared" si="9"/>
        <v/>
      </c>
      <c r="C489" s="167" t="s">
        <v>6</v>
      </c>
      <c r="D489" s="214" t="str">
        <f t="shared" si="10"/>
        <v/>
      </c>
      <c r="E489" s="186" t="str">
        <f t="shared" si="11"/>
        <v>Specialisations</v>
      </c>
      <c r="F489" s="150"/>
      <c r="G489" s="150"/>
      <c r="H489" s="150"/>
    </row>
    <row r="490" spans="1:9">
      <c r="A490" s="132"/>
      <c r="B490" s="183" t="str">
        <f t="shared" si="9"/>
        <v/>
      </c>
      <c r="C490" s="167" t="s">
        <v>6</v>
      </c>
      <c r="D490" s="214" t="str">
        <f t="shared" si="10"/>
        <v/>
      </c>
      <c r="E490" s="186" t="str">
        <f t="shared" si="11"/>
        <v>Specialisations</v>
      </c>
      <c r="F490" s="150"/>
      <c r="G490" s="150"/>
      <c r="H490" s="150"/>
    </row>
    <row r="491" spans="1:9">
      <c r="A491" s="132"/>
      <c r="B491" s="183" t="str">
        <f t="shared" si="9"/>
        <v/>
      </c>
      <c r="C491" s="167" t="s">
        <v>6</v>
      </c>
      <c r="D491" s="214" t="str">
        <f t="shared" si="10"/>
        <v/>
      </c>
      <c r="E491" s="186" t="str">
        <f t="shared" si="11"/>
        <v>Specialisations</v>
      </c>
      <c r="F491" s="150"/>
      <c r="G491" s="150"/>
      <c r="H491" s="150"/>
    </row>
    <row r="492" spans="1:9">
      <c r="A492" s="132"/>
      <c r="B492" s="299" t="s">
        <v>285</v>
      </c>
      <c r="C492" s="300"/>
      <c r="D492" s="213">
        <f>SUM(D476:D491)</f>
        <v>0</v>
      </c>
      <c r="E492" s="216"/>
      <c r="F492" s="299" t="s">
        <v>286</v>
      </c>
      <c r="G492" s="300"/>
      <c r="H492" s="215">
        <f>SUM(H476:H491)</f>
        <v>0</v>
      </c>
    </row>
    <row r="493" spans="1:9">
      <c r="A493" s="132"/>
      <c r="C493" s="212" t="s">
        <v>287</v>
      </c>
      <c r="D493" s="152">
        <f>SUM(D492,H492)</f>
        <v>0</v>
      </c>
    </row>
    <row r="494" spans="1:9">
      <c r="A494" s="25"/>
      <c r="B494" s="25"/>
      <c r="C494" s="25"/>
      <c r="D494" s="25"/>
      <c r="E494" s="25"/>
      <c r="F494" s="25"/>
      <c r="G494" s="25"/>
      <c r="H494" s="201"/>
      <c r="I494" s="25"/>
    </row>
    <row r="495" spans="1:9" ht="16.5" thickBot="1">
      <c r="A495" s="25"/>
      <c r="B495" s="301" t="s">
        <v>474</v>
      </c>
      <c r="C495" s="301"/>
      <c r="D495" s="301"/>
      <c r="E495" s="301"/>
      <c r="F495" s="25"/>
      <c r="G495" s="25"/>
      <c r="H495" s="201"/>
      <c r="I495" s="25"/>
    </row>
    <row r="496" spans="1:9">
      <c r="A496" s="25"/>
      <c r="B496" s="302" t="s">
        <v>470</v>
      </c>
      <c r="C496" s="303"/>
      <c r="D496" s="286">
        <f>SUMIFS(D476:D491,E476:E491,"*A&amp;T*")</f>
        <v>0</v>
      </c>
      <c r="E496" s="25"/>
      <c r="F496" s="25"/>
      <c r="G496" s="25"/>
      <c r="H496" s="201"/>
      <c r="I496" s="25"/>
    </row>
    <row r="497" spans="1:9">
      <c r="A497" s="25"/>
      <c r="B497" s="311" t="s">
        <v>471</v>
      </c>
      <c r="C497" s="312"/>
      <c r="D497" s="286">
        <f>SUMIFS(D476:D491,E476:E491,"*AS*")</f>
        <v>0</v>
      </c>
      <c r="E497" s="25"/>
      <c r="F497" s="25"/>
      <c r="G497" s="25"/>
      <c r="H497" s="201"/>
      <c r="I497" s="25"/>
    </row>
    <row r="498" spans="1:9">
      <c r="A498" s="25"/>
      <c r="B498" s="311" t="s">
        <v>472</v>
      </c>
      <c r="C498" s="312"/>
      <c r="D498" s="286">
        <f>SUMIFS(D476:D491,E476:E491,"*MFoCS*")</f>
        <v>0</v>
      </c>
      <c r="E498" s="25"/>
      <c r="F498" s="25"/>
      <c r="G498" s="25"/>
      <c r="H498" s="201"/>
      <c r="I498" s="25"/>
    </row>
    <row r="499" spans="1:9" ht="16.5" thickBot="1">
      <c r="A499" s="25"/>
      <c r="B499" s="313" t="s">
        <v>473</v>
      </c>
      <c r="C499" s="314"/>
      <c r="D499" s="287">
        <f>SUMIFS(D476:D491,E476:E491,"*MP*")</f>
        <v>0</v>
      </c>
      <c r="E499" s="25"/>
      <c r="F499" s="25"/>
      <c r="G499" s="25"/>
      <c r="H499" s="201"/>
      <c r="I499" s="25"/>
    </row>
    <row r="500" spans="1:9">
      <c r="A500" s="25"/>
      <c r="B500" s="315" t="s">
        <v>475</v>
      </c>
      <c r="C500" s="316"/>
      <c r="D500" s="288" t="str">
        <f>IF(COUNTIFS(D496:D499,"&gt;11")&gt;0,"Yes","No")</f>
        <v>No</v>
      </c>
      <c r="E500" s="25"/>
      <c r="F500" s="25"/>
      <c r="G500" s="25"/>
      <c r="H500" s="201"/>
      <c r="I500" s="25"/>
    </row>
    <row r="501" spans="1:9">
      <c r="A501" s="25"/>
      <c r="B501" s="25"/>
      <c r="C501" s="25"/>
      <c r="D501" s="25"/>
      <c r="E501" s="25"/>
      <c r="F501" s="25"/>
      <c r="G501" s="25"/>
      <c r="H501" s="201"/>
      <c r="I501" s="25"/>
    </row>
    <row r="502" spans="1:9">
      <c r="A502" s="25"/>
      <c r="B502" s="25"/>
      <c r="C502" s="25"/>
      <c r="D502" s="25"/>
      <c r="E502" s="25"/>
      <c r="F502" s="25"/>
      <c r="G502" s="25"/>
      <c r="H502" s="201"/>
      <c r="I502" s="25"/>
    </row>
    <row r="503" spans="1:9">
      <c r="A503" s="132"/>
      <c r="D503" s="25"/>
      <c r="I503" s="25"/>
    </row>
    <row r="504" spans="1:9" ht="16.5" thickBot="1">
      <c r="A504" s="132"/>
      <c r="B504" s="164"/>
      <c r="C504" s="173" t="s">
        <v>347</v>
      </c>
      <c r="D504" s="284"/>
      <c r="E504" s="174"/>
      <c r="F504" s="164"/>
      <c r="G504" s="172"/>
    </row>
    <row r="505" spans="1:9">
      <c r="A505" s="132"/>
      <c r="B505" s="304" t="s">
        <v>242</v>
      </c>
      <c r="C505" s="305"/>
      <c r="D505" s="175">
        <v>12</v>
      </c>
      <c r="E505" s="306"/>
      <c r="F505" s="307"/>
      <c r="G505" s="176"/>
    </row>
    <row r="506" spans="1:9">
      <c r="A506" s="132"/>
      <c r="C506" s="177" t="s">
        <v>3</v>
      </c>
      <c r="D506" s="178">
        <f>SUM(D505)</f>
        <v>12</v>
      </c>
      <c r="G506" s="133"/>
    </row>
    <row r="507" spans="1:9">
      <c r="A507" s="132"/>
    </row>
    <row r="508" spans="1:9">
      <c r="A508" s="132"/>
    </row>
    <row r="509" spans="1:9">
      <c r="A509" s="132"/>
      <c r="C509" s="283" t="s">
        <v>243</v>
      </c>
      <c r="D509" s="180">
        <f>SUM(D506,D493,D469,D456)</f>
        <v>66</v>
      </c>
    </row>
    <row r="510" spans="1:9">
      <c r="A510" s="132"/>
      <c r="B510" s="25"/>
      <c r="C510" s="25"/>
      <c r="D510" s="25"/>
    </row>
    <row r="511" spans="1:9">
      <c r="A511" s="132"/>
      <c r="B511" s="251" t="s">
        <v>385</v>
      </c>
      <c r="C511" s="247"/>
      <c r="D511" s="247"/>
      <c r="E511" s="248"/>
      <c r="F511" s="249"/>
      <c r="G511" s="249"/>
    </row>
    <row r="512" spans="1:9">
      <c r="A512" s="132"/>
      <c r="B512" s="246"/>
      <c r="C512" s="247"/>
      <c r="D512" s="247"/>
      <c r="E512" s="248"/>
      <c r="F512" s="249"/>
      <c r="G512" s="249"/>
    </row>
    <row r="513" spans="1:9">
      <c r="A513" s="132"/>
      <c r="B513" s="246" t="s">
        <v>386</v>
      </c>
      <c r="C513" s="247"/>
      <c r="D513" s="247"/>
      <c r="E513" s="248"/>
      <c r="F513" s="249"/>
      <c r="G513" s="249"/>
    </row>
    <row r="514" spans="1:9">
      <c r="A514" s="132"/>
      <c r="B514" s="250" t="s">
        <v>387</v>
      </c>
      <c r="C514" s="247"/>
      <c r="D514" s="247"/>
      <c r="E514" s="248"/>
      <c r="F514" s="249"/>
      <c r="G514" s="249"/>
    </row>
    <row r="515" spans="1:9">
      <c r="A515" s="132"/>
      <c r="B515" s="250" t="s">
        <v>388</v>
      </c>
      <c r="C515" s="247"/>
      <c r="D515" s="247"/>
      <c r="E515" s="248"/>
      <c r="F515" s="249"/>
      <c r="G515" s="249"/>
    </row>
    <row r="516" spans="1:9">
      <c r="A516" s="132"/>
      <c r="B516" s="245"/>
      <c r="C516" s="25"/>
      <c r="D516" s="25"/>
    </row>
    <row r="517" spans="1:9">
      <c r="A517" s="132"/>
      <c r="B517" s="25"/>
      <c r="C517" s="25"/>
      <c r="D517" s="25"/>
    </row>
    <row r="518" spans="1:9">
      <c r="A518" s="33"/>
      <c r="B518" s="14" t="s">
        <v>348</v>
      </c>
      <c r="C518" s="14"/>
      <c r="D518" s="16"/>
      <c r="E518" s="34"/>
      <c r="F518" s="3"/>
      <c r="G518" s="11"/>
      <c r="H518" s="3"/>
      <c r="I518" s="3"/>
    </row>
    <row r="519" spans="1:9">
      <c r="A519" s="33"/>
      <c r="B519" s="27" t="s">
        <v>0</v>
      </c>
      <c r="C519" s="27" t="s">
        <v>1</v>
      </c>
      <c r="D519" s="29" t="s">
        <v>2</v>
      </c>
      <c r="E519" s="15"/>
      <c r="F519" s="3"/>
      <c r="G519" s="11"/>
      <c r="H519" s="3"/>
      <c r="I519" s="3"/>
    </row>
    <row r="520" spans="1:9">
      <c r="A520" s="33"/>
      <c r="B520" s="8"/>
      <c r="C520" s="8"/>
      <c r="D520" s="13"/>
      <c r="E520" s="37"/>
      <c r="F520" s="3"/>
      <c r="G520" s="11"/>
      <c r="H520" s="3"/>
      <c r="I520" s="3"/>
    </row>
    <row r="521" spans="1:9">
      <c r="A521" s="33"/>
      <c r="B521" s="8"/>
      <c r="C521" s="8"/>
      <c r="D521" s="13"/>
      <c r="E521" s="37"/>
      <c r="F521" s="3"/>
      <c r="G521" s="11"/>
      <c r="H521" s="3"/>
      <c r="I521" s="3"/>
    </row>
    <row r="522" spans="1:9">
      <c r="A522" s="33"/>
      <c r="B522" s="8"/>
      <c r="C522" s="8"/>
      <c r="D522" s="13"/>
      <c r="E522" s="37"/>
      <c r="F522" s="3"/>
      <c r="G522" s="11"/>
      <c r="H522" s="3"/>
      <c r="I522" s="3"/>
    </row>
    <row r="523" spans="1:9">
      <c r="A523" s="33"/>
      <c r="B523" s="8"/>
      <c r="C523" s="8"/>
      <c r="D523" s="13"/>
      <c r="E523" s="37"/>
      <c r="F523" s="3"/>
      <c r="G523" s="11"/>
      <c r="H523" s="3"/>
      <c r="I523" s="3"/>
    </row>
    <row r="524" spans="1:9">
      <c r="A524" s="33"/>
      <c r="B524" s="8"/>
      <c r="C524" s="8"/>
      <c r="D524" s="13"/>
      <c r="E524" s="37"/>
      <c r="F524" s="3"/>
      <c r="G524" s="11"/>
      <c r="H524" s="3"/>
      <c r="I524" s="3"/>
    </row>
    <row r="525" spans="1:9">
      <c r="A525" s="33"/>
      <c r="B525" s="8"/>
      <c r="C525" s="8"/>
      <c r="D525" s="13"/>
      <c r="E525" s="37"/>
      <c r="F525" s="3"/>
      <c r="G525" s="11"/>
      <c r="H525" s="3"/>
      <c r="I525" s="3"/>
    </row>
    <row r="526" spans="1:9">
      <c r="A526" s="33"/>
      <c r="B526" s="8"/>
      <c r="C526" s="8"/>
      <c r="D526" s="13"/>
      <c r="E526" s="37"/>
      <c r="F526" s="3"/>
      <c r="G526" s="11"/>
      <c r="H526" s="3"/>
      <c r="I526" s="3"/>
    </row>
    <row r="527" spans="1:9">
      <c r="A527" s="33"/>
      <c r="B527" s="8"/>
      <c r="C527" s="8"/>
      <c r="D527" s="13"/>
      <c r="E527" s="37"/>
      <c r="F527" s="3"/>
      <c r="G527" s="11"/>
      <c r="H527" s="3"/>
      <c r="I527" s="3"/>
    </row>
    <row r="528" spans="1:9">
      <c r="A528" s="33"/>
      <c r="B528" s="7"/>
      <c r="C528" s="7"/>
      <c r="D528" s="12"/>
      <c r="E528" s="37"/>
      <c r="F528" s="3"/>
      <c r="G528" s="11"/>
      <c r="H528" s="3"/>
      <c r="I528" s="3"/>
    </row>
    <row r="529" spans="1:9">
      <c r="A529" s="33"/>
      <c r="B529" s="7"/>
      <c r="C529" s="7"/>
      <c r="D529" s="12"/>
      <c r="E529" s="37"/>
      <c r="F529" s="3"/>
      <c r="G529" s="11"/>
      <c r="H529" s="3"/>
      <c r="I529" s="3"/>
    </row>
    <row r="530" spans="1:9">
      <c r="A530" s="33"/>
      <c r="B530" s="35"/>
      <c r="C530" s="36" t="s">
        <v>3</v>
      </c>
      <c r="D530" s="30">
        <f>SUM(D520:D529)</f>
        <v>0</v>
      </c>
      <c r="E530" s="38"/>
      <c r="F530" s="3"/>
      <c r="G530" s="11"/>
      <c r="H530" s="3"/>
      <c r="I530" s="3"/>
    </row>
    <row r="531" spans="1:9">
      <c r="A531" s="33"/>
      <c r="B531" s="3"/>
      <c r="C531" s="3"/>
      <c r="D531" s="11"/>
      <c r="E531" s="3"/>
      <c r="F531" s="3"/>
      <c r="G531" s="11"/>
      <c r="H531" s="3"/>
      <c r="I531" s="3"/>
    </row>
    <row r="532" spans="1:9">
      <c r="A532" s="33"/>
      <c r="B532" s="308" t="s">
        <v>349</v>
      </c>
      <c r="C532" s="308"/>
      <c r="D532" s="180">
        <f>SUM(D530,D509)</f>
        <v>66</v>
      </c>
      <c r="E532" s="25"/>
      <c r="F532" s="3"/>
      <c r="G532" s="11"/>
      <c r="H532" s="3"/>
      <c r="I532" s="3"/>
    </row>
    <row r="533" spans="1:9">
      <c r="A533" s="25"/>
      <c r="B533" s="25"/>
      <c r="C533" s="25"/>
      <c r="D533" s="25"/>
      <c r="E533" s="25"/>
      <c r="F533" s="25"/>
      <c r="G533" s="25"/>
      <c r="H533" s="25"/>
      <c r="I533" s="25"/>
    </row>
    <row r="534" spans="1:9">
      <c r="A534" s="25"/>
      <c r="B534" s="25"/>
      <c r="C534" s="25"/>
      <c r="D534" s="25"/>
      <c r="E534" s="25"/>
      <c r="F534" s="25"/>
      <c r="G534" s="25"/>
      <c r="H534" s="25"/>
      <c r="I534" s="25"/>
    </row>
    <row r="535" spans="1:9">
      <c r="A535" s="25"/>
      <c r="B535" s="309" t="s">
        <v>384</v>
      </c>
      <c r="C535" s="309"/>
      <c r="D535" s="309"/>
      <c r="E535" s="25"/>
      <c r="F535" s="25"/>
      <c r="G535" s="25"/>
      <c r="H535" s="25"/>
      <c r="I535" s="25"/>
    </row>
    <row r="536" spans="1:9">
      <c r="A536" s="25"/>
      <c r="B536" s="310"/>
      <c r="C536" s="310"/>
      <c r="D536" s="310"/>
      <c r="E536" s="310"/>
      <c r="F536" s="310"/>
      <c r="G536" s="310"/>
      <c r="H536" s="25"/>
      <c r="I536" s="25"/>
    </row>
    <row r="537" spans="1:9">
      <c r="A537" s="25"/>
      <c r="B537" s="310"/>
      <c r="C537" s="310"/>
      <c r="D537" s="310"/>
      <c r="E537" s="310"/>
      <c r="F537" s="310"/>
      <c r="G537" s="310"/>
      <c r="H537" s="25"/>
      <c r="I537" s="25"/>
    </row>
    <row r="538" spans="1:9">
      <c r="A538" s="25"/>
      <c r="B538" s="310"/>
      <c r="C538" s="310"/>
      <c r="D538" s="310"/>
      <c r="E538" s="310"/>
      <c r="F538" s="310"/>
      <c r="G538" s="310"/>
      <c r="H538" s="25"/>
      <c r="I538" s="25"/>
    </row>
    <row r="539" spans="1:9">
      <c r="A539" s="25"/>
      <c r="B539" s="310"/>
      <c r="C539" s="310"/>
      <c r="D539" s="310"/>
      <c r="E539" s="310"/>
      <c r="F539" s="310"/>
      <c r="G539" s="310"/>
      <c r="H539" s="25"/>
      <c r="I539" s="25"/>
    </row>
    <row r="540" spans="1:9">
      <c r="A540" s="25"/>
      <c r="B540" s="310"/>
      <c r="C540" s="310"/>
      <c r="D540" s="310"/>
      <c r="E540" s="310"/>
      <c r="F540" s="310"/>
      <c r="G540" s="310"/>
      <c r="H540" s="25"/>
      <c r="I540" s="25"/>
    </row>
    <row r="541" spans="1:9">
      <c r="A541" s="181" t="s">
        <v>8</v>
      </c>
    </row>
    <row r="542" spans="1:9">
      <c r="A542" s="193">
        <v>2018</v>
      </c>
    </row>
    <row r="543" spans="1:9">
      <c r="A543" s="132"/>
      <c r="B543" s="134" t="s">
        <v>514</v>
      </c>
    </row>
    <row r="544" spans="1:9">
      <c r="A544" s="132"/>
      <c r="B544" s="135" t="s">
        <v>246</v>
      </c>
      <c r="D544" s="136"/>
      <c r="E544" s="137"/>
      <c r="I544" s="133"/>
    </row>
    <row r="545" spans="1:9">
      <c r="A545" s="132"/>
    </row>
    <row r="546" spans="1:9">
      <c r="A546" s="132"/>
      <c r="B546" s="138" t="s">
        <v>16</v>
      </c>
      <c r="C546" s="324"/>
      <c r="D546" s="324"/>
      <c r="E546" s="324"/>
      <c r="F546" s="324"/>
      <c r="G546" s="324"/>
      <c r="H546" s="324"/>
      <c r="I546" s="324"/>
    </row>
    <row r="547" spans="1:9">
      <c r="A547" s="132"/>
      <c r="B547" s="138" t="s">
        <v>17</v>
      </c>
      <c r="C547" s="324"/>
      <c r="D547" s="324"/>
      <c r="E547" s="324"/>
      <c r="F547" s="324"/>
      <c r="G547" s="324"/>
      <c r="H547" s="324"/>
      <c r="I547" s="324"/>
    </row>
    <row r="548" spans="1:9">
      <c r="A548" s="132"/>
      <c r="B548" s="138" t="s">
        <v>4</v>
      </c>
      <c r="C548" s="324"/>
      <c r="D548" s="324"/>
      <c r="E548" s="324"/>
      <c r="F548" s="324"/>
      <c r="G548" s="324"/>
      <c r="H548" s="324"/>
      <c r="I548" s="324"/>
    </row>
    <row r="549" spans="1:9">
      <c r="A549" s="132"/>
      <c r="B549" s="138" t="s">
        <v>5</v>
      </c>
      <c r="C549" s="324"/>
      <c r="D549" s="324"/>
      <c r="E549" s="324"/>
      <c r="F549" s="324"/>
      <c r="G549" s="324"/>
      <c r="H549" s="324"/>
      <c r="I549" s="324"/>
    </row>
    <row r="550" spans="1:9">
      <c r="A550" s="132"/>
      <c r="B550" s="138" t="s">
        <v>249</v>
      </c>
      <c r="C550" s="317" t="s">
        <v>477</v>
      </c>
      <c r="D550" s="317"/>
      <c r="E550" s="317"/>
      <c r="F550" s="317"/>
      <c r="G550" s="317"/>
      <c r="H550" s="317"/>
      <c r="I550" s="317"/>
    </row>
    <row r="551" spans="1:9">
      <c r="A551" s="132"/>
      <c r="B551" s="139"/>
    </row>
    <row r="552" spans="1:9" ht="16.5" thickBot="1">
      <c r="A552" s="132"/>
      <c r="B552" s="140"/>
      <c r="C552" s="140" t="s">
        <v>520</v>
      </c>
      <c r="D552" s="290"/>
      <c r="E552" s="290"/>
      <c r="F552" s="140"/>
      <c r="G552" s="290" t="s">
        <v>40</v>
      </c>
      <c r="H552" s="290"/>
      <c r="I552" s="142"/>
    </row>
    <row r="553" spans="1:9">
      <c r="A553" s="132"/>
      <c r="B553" s="143" t="s">
        <v>37</v>
      </c>
      <c r="C553" s="144" t="s">
        <v>38</v>
      </c>
      <c r="D553" s="145" t="s">
        <v>2</v>
      </c>
      <c r="E553" s="146" t="s">
        <v>241</v>
      </c>
      <c r="F553" s="147" t="s">
        <v>37</v>
      </c>
      <c r="G553" s="145" t="s">
        <v>38</v>
      </c>
      <c r="H553" s="145" t="s">
        <v>2</v>
      </c>
    </row>
    <row r="554" spans="1:9">
      <c r="A554" s="132"/>
      <c r="B554" s="222" t="s">
        <v>517</v>
      </c>
      <c r="C554" s="222" t="s">
        <v>518</v>
      </c>
      <c r="D554" s="223">
        <v>6</v>
      </c>
      <c r="E554" s="81" t="s">
        <v>44</v>
      </c>
      <c r="F554" s="148"/>
      <c r="G554" s="148"/>
      <c r="H554" s="149"/>
    </row>
    <row r="555" spans="1:9">
      <c r="A555" s="132"/>
      <c r="B555" s="222" t="s">
        <v>169</v>
      </c>
      <c r="C555" s="222" t="s">
        <v>461</v>
      </c>
      <c r="D555" s="223">
        <v>6</v>
      </c>
      <c r="E555" s="81" t="s">
        <v>44</v>
      </c>
      <c r="F555" s="148"/>
      <c r="G555" s="148"/>
      <c r="H555" s="149"/>
    </row>
    <row r="556" spans="1:9">
      <c r="A556" s="132"/>
      <c r="B556" s="222" t="s">
        <v>515</v>
      </c>
      <c r="C556" s="222" t="s">
        <v>516</v>
      </c>
      <c r="D556" s="223">
        <v>6</v>
      </c>
      <c r="E556" s="81" t="s">
        <v>44</v>
      </c>
      <c r="F556" s="148"/>
      <c r="G556" s="148"/>
      <c r="H556" s="149"/>
    </row>
    <row r="557" spans="1:9">
      <c r="A557" s="132"/>
      <c r="B557" s="222" t="s">
        <v>162</v>
      </c>
      <c r="C557" s="222" t="s">
        <v>253</v>
      </c>
      <c r="D557" s="223">
        <v>3</v>
      </c>
      <c r="E557" s="81" t="s">
        <v>44</v>
      </c>
      <c r="F557" s="148"/>
      <c r="G557" s="148"/>
      <c r="H557" s="149"/>
    </row>
    <row r="558" spans="1:9">
      <c r="A558" s="132"/>
      <c r="B558" s="222" t="s">
        <v>280</v>
      </c>
      <c r="C558" s="222" t="s">
        <v>274</v>
      </c>
      <c r="D558" s="223">
        <v>6</v>
      </c>
      <c r="E558" s="81" t="s">
        <v>44</v>
      </c>
      <c r="F558" s="148"/>
      <c r="G558" s="148"/>
      <c r="H558" s="149"/>
    </row>
    <row r="559" spans="1:9">
      <c r="A559" s="132"/>
      <c r="B559" s="222" t="s">
        <v>273</v>
      </c>
      <c r="C559" s="222" t="s">
        <v>270</v>
      </c>
      <c r="D559" s="223">
        <v>6</v>
      </c>
      <c r="E559" s="53" t="s">
        <v>44</v>
      </c>
      <c r="F559" s="148"/>
      <c r="G559" s="148"/>
      <c r="H559" s="149"/>
    </row>
    <row r="560" spans="1:9">
      <c r="A560" s="132"/>
      <c r="B560" s="222" t="s">
        <v>170</v>
      </c>
      <c r="C560" s="222" t="s">
        <v>276</v>
      </c>
      <c r="D560" s="223">
        <v>6</v>
      </c>
      <c r="E560" s="53" t="s">
        <v>44</v>
      </c>
      <c r="F560" s="148"/>
      <c r="G560" s="148"/>
      <c r="H560" s="149"/>
    </row>
    <row r="561" spans="1:9">
      <c r="A561" s="132"/>
      <c r="B561" s="222" t="s">
        <v>262</v>
      </c>
      <c r="C561" s="222" t="s">
        <v>263</v>
      </c>
      <c r="D561" s="223">
        <v>6</v>
      </c>
      <c r="E561" s="53" t="s">
        <v>44</v>
      </c>
      <c r="F561" s="148"/>
      <c r="G561" s="148"/>
      <c r="H561" s="149"/>
    </row>
    <row r="562" spans="1:9">
      <c r="A562" s="132"/>
      <c r="B562" s="222" t="s">
        <v>260</v>
      </c>
      <c r="C562" s="222" t="s">
        <v>261</v>
      </c>
      <c r="D562" s="223">
        <v>6</v>
      </c>
      <c r="E562" s="53" t="s">
        <v>44</v>
      </c>
      <c r="F562" s="148"/>
      <c r="G562" s="148"/>
      <c r="H562" s="149"/>
    </row>
    <row r="563" spans="1:9">
      <c r="A563" s="132"/>
      <c r="B563" s="222" t="s">
        <v>13</v>
      </c>
      <c r="C563" s="222" t="s">
        <v>519</v>
      </c>
      <c r="D563" s="223">
        <v>3</v>
      </c>
      <c r="E563" s="221" t="s">
        <v>44</v>
      </c>
      <c r="F563" s="148"/>
      <c r="G563" s="148"/>
      <c r="H563" s="149"/>
    </row>
    <row r="564" spans="1:9">
      <c r="A564" s="132"/>
      <c r="B564" s="222" t="s">
        <v>264</v>
      </c>
      <c r="C564" s="222" t="s">
        <v>457</v>
      </c>
      <c r="D564" s="223">
        <v>3</v>
      </c>
      <c r="E564" s="221" t="s">
        <v>44</v>
      </c>
      <c r="F564" s="148"/>
      <c r="G564" s="148"/>
      <c r="H564" s="149"/>
    </row>
    <row r="565" spans="1:9">
      <c r="A565" s="132"/>
      <c r="B565" s="222" t="s">
        <v>18</v>
      </c>
      <c r="C565" s="222" t="s">
        <v>250</v>
      </c>
      <c r="D565" s="223">
        <v>3</v>
      </c>
      <c r="E565" s="221" t="s">
        <v>44</v>
      </c>
      <c r="F565" s="148"/>
      <c r="G565" s="148"/>
      <c r="H565" s="149"/>
    </row>
    <row r="566" spans="1:9">
      <c r="A566" s="132"/>
      <c r="C566" s="151" t="s">
        <v>15</v>
      </c>
      <c r="D566" s="152">
        <f>SUMIFS(D554:D565,H554:H565,"",E554:E565,"Yes")+SUM(H554:H565)</f>
        <v>60</v>
      </c>
      <c r="E566" s="137"/>
      <c r="I566" s="133"/>
    </row>
    <row r="567" spans="1:9">
      <c r="A567" s="132"/>
    </row>
    <row r="568" spans="1:9">
      <c r="A568" s="132"/>
      <c r="B568" s="25"/>
      <c r="C568" s="25"/>
      <c r="D568" s="25"/>
      <c r="E568" s="25"/>
      <c r="F568" s="25"/>
      <c r="G568" s="25"/>
      <c r="H568" s="25"/>
    </row>
    <row r="569" spans="1:9">
      <c r="A569" s="132"/>
      <c r="B569" s="25"/>
      <c r="C569" s="25"/>
      <c r="D569" s="25"/>
      <c r="E569" s="25"/>
      <c r="F569" s="25"/>
      <c r="G569" s="25"/>
      <c r="H569" s="25"/>
    </row>
    <row r="570" spans="1:9">
      <c r="A570" s="132"/>
      <c r="B570" s="25"/>
      <c r="C570" s="25"/>
      <c r="D570" s="25"/>
      <c r="E570" s="25"/>
      <c r="F570" s="25"/>
      <c r="G570" s="25"/>
      <c r="H570" s="25"/>
    </row>
    <row r="571" spans="1:9">
      <c r="A571" s="132"/>
      <c r="B571" s="25"/>
      <c r="C571" s="25"/>
      <c r="D571" s="25"/>
      <c r="E571" s="25"/>
      <c r="F571" s="25"/>
      <c r="G571" s="25"/>
      <c r="H571" s="25"/>
    </row>
    <row r="572" spans="1:9" ht="16.5" thickBot="1">
      <c r="A572" s="132"/>
      <c r="B572" s="253"/>
      <c r="C572" s="171" t="s">
        <v>391</v>
      </c>
      <c r="D572" s="172"/>
      <c r="G572" s="25"/>
      <c r="H572" s="25"/>
    </row>
    <row r="573" spans="1:9">
      <c r="A573" s="132"/>
      <c r="B573" s="153" t="s">
        <v>392</v>
      </c>
    </row>
    <row r="574" spans="1:9">
      <c r="A574" s="132"/>
      <c r="B574" s="154" t="s">
        <v>23</v>
      </c>
      <c r="C574" s="155" t="s">
        <v>24</v>
      </c>
      <c r="D574" s="156"/>
      <c r="E574" s="157"/>
      <c r="G574" s="158"/>
      <c r="H574" s="159"/>
    </row>
    <row r="575" spans="1:9" ht="16.5" thickBot="1">
      <c r="A575" s="132"/>
      <c r="B575" s="160" t="s">
        <v>49</v>
      </c>
      <c r="C575" s="161" t="s">
        <v>42</v>
      </c>
      <c r="D575" s="162"/>
      <c r="E575" s="163"/>
      <c r="F575" s="164"/>
      <c r="G575" s="290" t="s">
        <v>22</v>
      </c>
      <c r="H575" s="290"/>
    </row>
    <row r="576" spans="1:9">
      <c r="A576" s="132" t="s">
        <v>393</v>
      </c>
      <c r="B576" s="143" t="s">
        <v>37</v>
      </c>
      <c r="C576" s="165" t="s">
        <v>38</v>
      </c>
      <c r="D576" s="192" t="s">
        <v>2</v>
      </c>
      <c r="E576" s="187" t="s">
        <v>48</v>
      </c>
      <c r="F576" s="143" t="s">
        <v>37</v>
      </c>
      <c r="G576" s="166" t="s">
        <v>38</v>
      </c>
      <c r="H576" s="145" t="s">
        <v>2</v>
      </c>
    </row>
    <row r="577" spans="1:8">
      <c r="A577" s="132"/>
      <c r="B577" s="167"/>
      <c r="C577" s="167"/>
      <c r="D577" s="150"/>
      <c r="E577" s="168"/>
      <c r="F577" s="150"/>
      <c r="G577" s="150"/>
      <c r="H577" s="150"/>
    </row>
    <row r="578" spans="1:8">
      <c r="A578" s="132"/>
      <c r="B578" s="167"/>
      <c r="C578" s="167"/>
      <c r="D578" s="150"/>
      <c r="E578" s="168"/>
      <c r="F578" s="150"/>
      <c r="G578" s="150"/>
      <c r="H578" s="150"/>
    </row>
    <row r="579" spans="1:8">
      <c r="A579" s="132" t="s">
        <v>394</v>
      </c>
      <c r="B579" s="169"/>
      <c r="C579" s="151" t="s">
        <v>15</v>
      </c>
      <c r="D579" s="152">
        <f>SUMIFS(D576:D578,H576:H578,"",E576:E578,"Yes")+SUM(H576:H578)</f>
        <v>0</v>
      </c>
      <c r="E579" s="137"/>
      <c r="F579" s="135"/>
      <c r="G579" s="135"/>
      <c r="H579" s="170"/>
    </row>
    <row r="580" spans="1:8">
      <c r="A580" s="132"/>
      <c r="B580" s="55" t="s">
        <v>247</v>
      </c>
    </row>
    <row r="581" spans="1:8">
      <c r="A581" s="132"/>
      <c r="B581" s="153" t="s">
        <v>283</v>
      </c>
      <c r="C581" s="153"/>
      <c r="D581" s="220"/>
      <c r="E581" s="220"/>
      <c r="F581" s="153"/>
      <c r="G581" s="153"/>
      <c r="H581" s="220"/>
    </row>
    <row r="582" spans="1:8">
      <c r="A582" s="132"/>
      <c r="B582" s="153" t="s">
        <v>284</v>
      </c>
      <c r="C582" s="153"/>
      <c r="D582" s="220"/>
      <c r="E582" s="220"/>
      <c r="F582" s="153"/>
      <c r="G582" s="153"/>
      <c r="H582" s="220"/>
    </row>
    <row r="583" spans="1:8">
      <c r="A583" s="132"/>
      <c r="B583" s="153"/>
      <c r="C583" s="153"/>
      <c r="D583" s="220"/>
      <c r="E583" s="220"/>
      <c r="F583" s="153"/>
      <c r="G583" s="153"/>
      <c r="H583" s="220"/>
    </row>
    <row r="584" spans="1:8" ht="16.5" thickBot="1">
      <c r="A584" s="132"/>
      <c r="B584" s="298" t="s">
        <v>378</v>
      </c>
      <c r="C584" s="298"/>
      <c r="D584" s="298"/>
      <c r="E584" s="172"/>
      <c r="F584" s="298" t="s">
        <v>282</v>
      </c>
      <c r="G584" s="298"/>
      <c r="H584" s="298"/>
    </row>
    <row r="585" spans="1:8">
      <c r="A585" s="132"/>
      <c r="B585" s="143" t="s">
        <v>37</v>
      </c>
      <c r="C585" s="165" t="s">
        <v>38</v>
      </c>
      <c r="D585" s="192" t="s">
        <v>2</v>
      </c>
      <c r="E585" s="185" t="s">
        <v>48</v>
      </c>
      <c r="F585" s="143" t="s">
        <v>37</v>
      </c>
      <c r="G585" s="143" t="s">
        <v>38</v>
      </c>
      <c r="H585" s="192" t="s">
        <v>2</v>
      </c>
    </row>
    <row r="586" spans="1:8">
      <c r="A586" s="132"/>
      <c r="B586" s="183" t="str">
        <f t="shared" ref="B586:B601" si="12">VLOOKUP(C586,math_electives_2018_lijst,2,0)</f>
        <v/>
      </c>
      <c r="C586" s="167" t="s">
        <v>6</v>
      </c>
      <c r="D586" s="214" t="str">
        <f t="shared" ref="D586:D601" si="13">VLOOKUP(C586,math_electives_2018_lijst,3,0)</f>
        <v/>
      </c>
      <c r="E586" s="186" t="str">
        <f t="shared" ref="E586:E601" si="14">VLOOKUP(C586,math_electives_2016_lijst,4,0)</f>
        <v>Specialisations</v>
      </c>
      <c r="F586" s="150"/>
      <c r="G586" s="150"/>
      <c r="H586" s="150"/>
    </row>
    <row r="587" spans="1:8">
      <c r="A587" s="132"/>
      <c r="B587" s="183" t="str">
        <f t="shared" si="12"/>
        <v/>
      </c>
      <c r="C587" s="167" t="s">
        <v>6</v>
      </c>
      <c r="D587" s="214" t="str">
        <f t="shared" si="13"/>
        <v/>
      </c>
      <c r="E587" s="186" t="str">
        <f t="shared" si="14"/>
        <v>Specialisations</v>
      </c>
      <c r="F587" s="150"/>
      <c r="G587" s="150"/>
      <c r="H587" s="150"/>
    </row>
    <row r="588" spans="1:8">
      <c r="A588" s="132"/>
      <c r="B588" s="183" t="str">
        <f t="shared" si="12"/>
        <v/>
      </c>
      <c r="C588" s="167" t="s">
        <v>6</v>
      </c>
      <c r="D588" s="214" t="str">
        <f t="shared" si="13"/>
        <v/>
      </c>
      <c r="E588" s="186" t="str">
        <f t="shared" si="14"/>
        <v>Specialisations</v>
      </c>
      <c r="F588" s="150"/>
      <c r="G588" s="150"/>
      <c r="H588" s="150"/>
    </row>
    <row r="589" spans="1:8">
      <c r="A589" s="132"/>
      <c r="B589" s="183" t="str">
        <f t="shared" si="12"/>
        <v/>
      </c>
      <c r="C589" s="167" t="s">
        <v>6</v>
      </c>
      <c r="D589" s="214" t="str">
        <f t="shared" si="13"/>
        <v/>
      </c>
      <c r="E589" s="186" t="str">
        <f t="shared" si="14"/>
        <v>Specialisations</v>
      </c>
      <c r="F589" s="150"/>
      <c r="G589" s="150"/>
      <c r="H589" s="150"/>
    </row>
    <row r="590" spans="1:8">
      <c r="A590" s="132"/>
      <c r="B590" s="183" t="str">
        <f t="shared" si="12"/>
        <v/>
      </c>
      <c r="C590" s="167" t="s">
        <v>6</v>
      </c>
      <c r="D590" s="214" t="str">
        <f t="shared" si="13"/>
        <v/>
      </c>
      <c r="E590" s="186" t="str">
        <f t="shared" si="14"/>
        <v>Specialisations</v>
      </c>
      <c r="F590" s="150"/>
      <c r="G590" s="150"/>
      <c r="H590" s="150"/>
    </row>
    <row r="591" spans="1:8">
      <c r="A591" s="132"/>
      <c r="B591" s="183" t="str">
        <f t="shared" si="12"/>
        <v/>
      </c>
      <c r="C591" s="167" t="s">
        <v>6</v>
      </c>
      <c r="D591" s="214" t="str">
        <f t="shared" si="13"/>
        <v/>
      </c>
      <c r="E591" s="186" t="str">
        <f t="shared" si="14"/>
        <v>Specialisations</v>
      </c>
      <c r="F591" s="150"/>
      <c r="G591" s="150"/>
      <c r="H591" s="150"/>
    </row>
    <row r="592" spans="1:8">
      <c r="A592" s="132"/>
      <c r="B592" s="183" t="str">
        <f t="shared" si="12"/>
        <v/>
      </c>
      <c r="C592" s="167" t="s">
        <v>6</v>
      </c>
      <c r="D592" s="214" t="str">
        <f t="shared" si="13"/>
        <v/>
      </c>
      <c r="E592" s="186" t="str">
        <f t="shared" si="14"/>
        <v>Specialisations</v>
      </c>
      <c r="F592" s="150"/>
      <c r="G592" s="150"/>
      <c r="H592" s="150"/>
    </row>
    <row r="593" spans="1:9">
      <c r="A593" s="132"/>
      <c r="B593" s="183" t="str">
        <f t="shared" si="12"/>
        <v/>
      </c>
      <c r="C593" s="167" t="s">
        <v>6</v>
      </c>
      <c r="D593" s="214" t="str">
        <f t="shared" si="13"/>
        <v/>
      </c>
      <c r="E593" s="186" t="str">
        <f t="shared" si="14"/>
        <v>Specialisations</v>
      </c>
      <c r="F593" s="150"/>
      <c r="G593" s="150"/>
      <c r="H593" s="150"/>
    </row>
    <row r="594" spans="1:9">
      <c r="A594" s="132"/>
      <c r="B594" s="183" t="str">
        <f t="shared" si="12"/>
        <v/>
      </c>
      <c r="C594" s="167" t="s">
        <v>6</v>
      </c>
      <c r="D594" s="214" t="str">
        <f t="shared" si="13"/>
        <v/>
      </c>
      <c r="E594" s="186" t="str">
        <f t="shared" si="14"/>
        <v>Specialisations</v>
      </c>
      <c r="F594" s="150"/>
      <c r="G594" s="150"/>
      <c r="H594" s="150"/>
    </row>
    <row r="595" spans="1:9">
      <c r="A595" s="132"/>
      <c r="B595" s="183" t="str">
        <f t="shared" si="12"/>
        <v/>
      </c>
      <c r="C595" s="167" t="s">
        <v>6</v>
      </c>
      <c r="D595" s="214" t="str">
        <f t="shared" si="13"/>
        <v/>
      </c>
      <c r="E595" s="186" t="str">
        <f t="shared" si="14"/>
        <v>Specialisations</v>
      </c>
      <c r="F595" s="150"/>
      <c r="G595" s="150"/>
      <c r="H595" s="150"/>
    </row>
    <row r="596" spans="1:9">
      <c r="A596" s="132"/>
      <c r="B596" s="183" t="str">
        <f t="shared" si="12"/>
        <v/>
      </c>
      <c r="C596" s="167" t="s">
        <v>6</v>
      </c>
      <c r="D596" s="214" t="str">
        <f t="shared" si="13"/>
        <v/>
      </c>
      <c r="E596" s="186" t="str">
        <f t="shared" si="14"/>
        <v>Specialisations</v>
      </c>
      <c r="F596" s="150"/>
      <c r="G596" s="150"/>
      <c r="H596" s="150"/>
    </row>
    <row r="597" spans="1:9">
      <c r="A597" s="132"/>
      <c r="B597" s="183" t="str">
        <f t="shared" si="12"/>
        <v/>
      </c>
      <c r="C597" s="167" t="s">
        <v>6</v>
      </c>
      <c r="D597" s="214" t="str">
        <f t="shared" si="13"/>
        <v/>
      </c>
      <c r="E597" s="186" t="str">
        <f t="shared" si="14"/>
        <v>Specialisations</v>
      </c>
      <c r="F597" s="150"/>
      <c r="G597" s="150"/>
      <c r="H597" s="150"/>
    </row>
    <row r="598" spans="1:9">
      <c r="A598" s="132"/>
      <c r="B598" s="183" t="str">
        <f t="shared" si="12"/>
        <v/>
      </c>
      <c r="C598" s="167" t="s">
        <v>6</v>
      </c>
      <c r="D598" s="214" t="str">
        <f t="shared" si="13"/>
        <v/>
      </c>
      <c r="E598" s="186" t="str">
        <f t="shared" si="14"/>
        <v>Specialisations</v>
      </c>
      <c r="F598" s="150"/>
      <c r="G598" s="150"/>
      <c r="H598" s="150"/>
    </row>
    <row r="599" spans="1:9">
      <c r="A599" s="132"/>
      <c r="B599" s="183" t="str">
        <f t="shared" si="12"/>
        <v/>
      </c>
      <c r="C599" s="167" t="s">
        <v>6</v>
      </c>
      <c r="D599" s="214" t="str">
        <f t="shared" si="13"/>
        <v/>
      </c>
      <c r="E599" s="186" t="str">
        <f t="shared" si="14"/>
        <v>Specialisations</v>
      </c>
      <c r="F599" s="150"/>
      <c r="G599" s="150"/>
      <c r="H599" s="150"/>
    </row>
    <row r="600" spans="1:9">
      <c r="A600" s="132"/>
      <c r="B600" s="183" t="str">
        <f t="shared" si="12"/>
        <v/>
      </c>
      <c r="C600" s="167" t="s">
        <v>6</v>
      </c>
      <c r="D600" s="214" t="str">
        <f t="shared" si="13"/>
        <v/>
      </c>
      <c r="E600" s="186" t="str">
        <f t="shared" si="14"/>
        <v>Specialisations</v>
      </c>
      <c r="F600" s="150"/>
      <c r="G600" s="150"/>
      <c r="H600" s="150"/>
    </row>
    <row r="601" spans="1:9">
      <c r="A601" s="132"/>
      <c r="B601" s="183" t="str">
        <f t="shared" si="12"/>
        <v/>
      </c>
      <c r="C601" s="167" t="s">
        <v>6</v>
      </c>
      <c r="D601" s="214" t="str">
        <f t="shared" si="13"/>
        <v/>
      </c>
      <c r="E601" s="186" t="str">
        <f t="shared" si="14"/>
        <v>Specialisations</v>
      </c>
      <c r="F601" s="150"/>
      <c r="G601" s="150"/>
      <c r="H601" s="150"/>
    </row>
    <row r="602" spans="1:9">
      <c r="A602" s="132"/>
      <c r="B602" s="299" t="s">
        <v>285</v>
      </c>
      <c r="C602" s="300"/>
      <c r="D602" s="213">
        <f>SUM(D586:D601)</f>
        <v>0</v>
      </c>
      <c r="E602" s="216"/>
      <c r="F602" s="299" t="s">
        <v>286</v>
      </c>
      <c r="G602" s="300"/>
      <c r="H602" s="215">
        <f>SUM(H586:H601)</f>
        <v>0</v>
      </c>
    </row>
    <row r="603" spans="1:9">
      <c r="A603" s="132"/>
      <c r="C603" s="212" t="s">
        <v>287</v>
      </c>
      <c r="D603" s="152">
        <f>SUM(D602,H602)</f>
        <v>0</v>
      </c>
    </row>
    <row r="604" spans="1:9">
      <c r="A604" s="25"/>
      <c r="B604" s="25"/>
      <c r="C604" s="25"/>
      <c r="D604" s="25"/>
      <c r="E604" s="25"/>
      <c r="F604" s="25"/>
      <c r="G604" s="25"/>
      <c r="H604" s="201"/>
      <c r="I604" s="25"/>
    </row>
    <row r="605" spans="1:9" ht="16.5" thickBot="1">
      <c r="A605" s="25"/>
      <c r="B605" s="301" t="s">
        <v>474</v>
      </c>
      <c r="C605" s="301"/>
      <c r="D605" s="301"/>
      <c r="E605" s="301"/>
      <c r="F605" s="25"/>
      <c r="G605" s="25"/>
      <c r="H605" s="201"/>
      <c r="I605" s="25"/>
    </row>
    <row r="606" spans="1:9">
      <c r="A606" s="25"/>
      <c r="B606" s="302" t="s">
        <v>470</v>
      </c>
      <c r="C606" s="303"/>
      <c r="D606" s="286">
        <f>SUMIFS(D586:D601,E586:E601,"*A&amp;T*")</f>
        <v>0</v>
      </c>
      <c r="E606" s="25"/>
      <c r="F606" s="25"/>
      <c r="G606" s="25"/>
      <c r="H606" s="201"/>
      <c r="I606" s="25"/>
    </row>
    <row r="607" spans="1:9">
      <c r="A607" s="25"/>
      <c r="B607" s="311" t="s">
        <v>471</v>
      </c>
      <c r="C607" s="312"/>
      <c r="D607" s="286">
        <f>SUMIFS(D586:D601,E586:E601,"*AS*")</f>
        <v>0</v>
      </c>
      <c r="E607" s="25"/>
      <c r="F607" s="25"/>
      <c r="G607" s="25"/>
      <c r="H607" s="201"/>
      <c r="I607" s="25"/>
    </row>
    <row r="608" spans="1:9">
      <c r="A608" s="25"/>
      <c r="B608" s="311" t="s">
        <v>472</v>
      </c>
      <c r="C608" s="312"/>
      <c r="D608" s="286">
        <f>SUMIFS(D586:D601,E586:E601,"*MFoCS*")</f>
        <v>0</v>
      </c>
      <c r="E608" s="25"/>
      <c r="F608" s="25"/>
      <c r="G608" s="25"/>
      <c r="H608" s="201"/>
      <c r="I608" s="25"/>
    </row>
    <row r="609" spans="1:9" ht="16.5" thickBot="1">
      <c r="A609" s="25"/>
      <c r="B609" s="313" t="s">
        <v>473</v>
      </c>
      <c r="C609" s="314"/>
      <c r="D609" s="287">
        <f>SUMIFS(D586:D601,E586:E601,"*MP*")</f>
        <v>0</v>
      </c>
      <c r="E609" s="25"/>
      <c r="F609" s="25"/>
      <c r="G609" s="25"/>
      <c r="H609" s="201"/>
      <c r="I609" s="25"/>
    </row>
    <row r="610" spans="1:9">
      <c r="A610" s="25"/>
      <c r="B610" s="315" t="s">
        <v>475</v>
      </c>
      <c r="C610" s="316"/>
      <c r="D610" s="288" t="str">
        <f>IF(COUNTIFS(D606:D609,"&gt;11")&gt;0,"Yes","No")</f>
        <v>No</v>
      </c>
      <c r="E610" s="25"/>
      <c r="F610" s="25"/>
      <c r="G610" s="25"/>
      <c r="H610" s="201"/>
      <c r="I610" s="25"/>
    </row>
    <row r="611" spans="1:9">
      <c r="A611" s="25"/>
      <c r="B611" s="25"/>
      <c r="C611" s="25"/>
      <c r="D611" s="25"/>
      <c r="E611" s="25"/>
      <c r="F611" s="25"/>
      <c r="G611" s="25"/>
      <c r="H611" s="201"/>
      <c r="I611" s="25"/>
    </row>
    <row r="612" spans="1:9">
      <c r="A612" s="25"/>
      <c r="B612" s="25"/>
      <c r="C612" s="25"/>
      <c r="D612" s="25"/>
      <c r="E612" s="25"/>
      <c r="F612" s="25"/>
      <c r="G612" s="25"/>
      <c r="H612" s="201"/>
      <c r="I612" s="25"/>
    </row>
    <row r="613" spans="1:9">
      <c r="A613" s="132"/>
      <c r="D613" s="25"/>
      <c r="I613" s="25"/>
    </row>
    <row r="614" spans="1:9" ht="16.5" thickBot="1">
      <c r="A614" s="132"/>
      <c r="B614" s="164"/>
      <c r="C614" s="173" t="s">
        <v>347</v>
      </c>
      <c r="D614" s="290"/>
      <c r="E614" s="174"/>
      <c r="F614" s="164"/>
      <c r="G614" s="172"/>
    </row>
    <row r="615" spans="1:9">
      <c r="A615" s="132"/>
      <c r="B615" s="304" t="s">
        <v>242</v>
      </c>
      <c r="C615" s="305"/>
      <c r="D615" s="175">
        <v>12</v>
      </c>
      <c r="E615" s="306"/>
      <c r="F615" s="307"/>
      <c r="G615" s="176"/>
    </row>
    <row r="616" spans="1:9">
      <c r="A616" s="132"/>
      <c r="C616" s="177" t="s">
        <v>3</v>
      </c>
      <c r="D616" s="178">
        <f>SUM(D615)</f>
        <v>12</v>
      </c>
      <c r="G616" s="133"/>
    </row>
    <row r="617" spans="1:9">
      <c r="A617" s="132"/>
    </row>
    <row r="618" spans="1:9">
      <c r="A618" s="132"/>
    </row>
    <row r="619" spans="1:9">
      <c r="A619" s="132"/>
      <c r="C619" s="289" t="s">
        <v>243</v>
      </c>
      <c r="D619" s="180">
        <f>SUM(D616,D603,D579,D566)</f>
        <v>72</v>
      </c>
    </row>
    <row r="620" spans="1:9">
      <c r="A620" s="132"/>
      <c r="B620" s="25"/>
      <c r="C620" s="25"/>
      <c r="D620" s="25"/>
    </row>
    <row r="621" spans="1:9">
      <c r="A621" s="132"/>
      <c r="B621" s="251" t="s">
        <v>385</v>
      </c>
      <c r="C621" s="247"/>
      <c r="D621" s="247"/>
      <c r="E621" s="248"/>
      <c r="F621" s="249"/>
      <c r="G621" s="249"/>
    </row>
    <row r="622" spans="1:9">
      <c r="A622" s="132"/>
      <c r="B622" s="246"/>
      <c r="C622" s="247"/>
      <c r="D622" s="247"/>
      <c r="E622" s="248"/>
      <c r="F622" s="249"/>
      <c r="G622" s="249"/>
    </row>
    <row r="623" spans="1:9">
      <c r="A623" s="132"/>
      <c r="B623" s="246" t="s">
        <v>386</v>
      </c>
      <c r="C623" s="247"/>
      <c r="D623" s="247"/>
      <c r="E623" s="248"/>
      <c r="F623" s="249"/>
      <c r="G623" s="249"/>
    </row>
    <row r="624" spans="1:9">
      <c r="A624" s="132"/>
      <c r="B624" s="250" t="s">
        <v>387</v>
      </c>
      <c r="C624" s="247"/>
      <c r="D624" s="247"/>
      <c r="E624" s="248"/>
      <c r="F624" s="249"/>
      <c r="G624" s="249"/>
    </row>
    <row r="625" spans="1:9">
      <c r="A625" s="132"/>
      <c r="B625" s="250" t="s">
        <v>388</v>
      </c>
      <c r="C625" s="247"/>
      <c r="D625" s="247"/>
      <c r="E625" s="248"/>
      <c r="F625" s="249"/>
      <c r="G625" s="249"/>
    </row>
    <row r="626" spans="1:9">
      <c r="A626" s="132"/>
      <c r="B626" s="245"/>
      <c r="C626" s="25"/>
      <c r="D626" s="25"/>
    </row>
    <row r="627" spans="1:9">
      <c r="A627" s="132"/>
      <c r="B627" s="25"/>
      <c r="C627" s="25"/>
      <c r="D627" s="25"/>
    </row>
    <row r="628" spans="1:9">
      <c r="A628" s="33"/>
      <c r="B628" s="14" t="s">
        <v>348</v>
      </c>
      <c r="C628" s="14"/>
      <c r="D628" s="16"/>
      <c r="E628" s="34"/>
      <c r="F628" s="3"/>
      <c r="G628" s="11"/>
      <c r="H628" s="3"/>
      <c r="I628" s="3"/>
    </row>
    <row r="629" spans="1:9">
      <c r="A629" s="33"/>
      <c r="B629" s="27" t="s">
        <v>0</v>
      </c>
      <c r="C629" s="27" t="s">
        <v>1</v>
      </c>
      <c r="D629" s="29" t="s">
        <v>2</v>
      </c>
      <c r="E629" s="15"/>
      <c r="F629" s="3"/>
      <c r="G629" s="11"/>
      <c r="H629" s="3"/>
      <c r="I629" s="3"/>
    </row>
    <row r="630" spans="1:9">
      <c r="A630" s="33"/>
      <c r="B630" s="8"/>
      <c r="C630" s="8"/>
      <c r="D630" s="13"/>
      <c r="E630" s="37"/>
      <c r="F630" s="3"/>
      <c r="G630" s="11"/>
      <c r="H630" s="3"/>
      <c r="I630" s="3"/>
    </row>
    <row r="631" spans="1:9">
      <c r="A631" s="33"/>
      <c r="B631" s="8"/>
      <c r="C631" s="8"/>
      <c r="D631" s="13"/>
      <c r="E631" s="37"/>
      <c r="F631" s="3"/>
      <c r="G631" s="11"/>
      <c r="H631" s="3"/>
      <c r="I631" s="3"/>
    </row>
    <row r="632" spans="1:9">
      <c r="A632" s="33"/>
      <c r="B632" s="8"/>
      <c r="C632" s="8"/>
      <c r="D632" s="13"/>
      <c r="E632" s="37"/>
      <c r="F632" s="3"/>
      <c r="G632" s="11"/>
      <c r="H632" s="3"/>
      <c r="I632" s="3"/>
    </row>
    <row r="633" spans="1:9">
      <c r="A633" s="33"/>
      <c r="B633" s="8"/>
      <c r="C633" s="8"/>
      <c r="D633" s="13"/>
      <c r="E633" s="37"/>
      <c r="F633" s="3"/>
      <c r="G633" s="11"/>
      <c r="H633" s="3"/>
      <c r="I633" s="3"/>
    </row>
    <row r="634" spans="1:9">
      <c r="A634" s="33"/>
      <c r="B634" s="8"/>
      <c r="C634" s="8"/>
      <c r="D634" s="13"/>
      <c r="E634" s="37"/>
      <c r="F634" s="3"/>
      <c r="G634" s="11"/>
      <c r="H634" s="3"/>
      <c r="I634" s="3"/>
    </row>
    <row r="635" spans="1:9">
      <c r="A635" s="33"/>
      <c r="B635" s="8"/>
      <c r="C635" s="8"/>
      <c r="D635" s="13"/>
      <c r="E635" s="37"/>
      <c r="F635" s="3"/>
      <c r="G635" s="11"/>
      <c r="H635" s="3"/>
      <c r="I635" s="3"/>
    </row>
    <row r="636" spans="1:9">
      <c r="A636" s="33"/>
      <c r="B636" s="8"/>
      <c r="C636" s="8"/>
      <c r="D636" s="13"/>
      <c r="E636" s="37"/>
      <c r="F636" s="3"/>
      <c r="G636" s="11"/>
      <c r="H636" s="3"/>
      <c r="I636" s="3"/>
    </row>
    <row r="637" spans="1:9">
      <c r="A637" s="33"/>
      <c r="B637" s="8"/>
      <c r="C637" s="8"/>
      <c r="D637" s="13"/>
      <c r="E637" s="37"/>
      <c r="F637" s="3"/>
      <c r="G637" s="11"/>
      <c r="H637" s="3"/>
      <c r="I637" s="3"/>
    </row>
    <row r="638" spans="1:9">
      <c r="A638" s="33"/>
      <c r="B638" s="7"/>
      <c r="C638" s="7"/>
      <c r="D638" s="12"/>
      <c r="E638" s="37"/>
      <c r="F638" s="3"/>
      <c r="G638" s="11"/>
      <c r="H638" s="3"/>
      <c r="I638" s="3"/>
    </row>
    <row r="639" spans="1:9">
      <c r="A639" s="33"/>
      <c r="B639" s="7"/>
      <c r="C639" s="7"/>
      <c r="D639" s="12"/>
      <c r="E639" s="37"/>
      <c r="F639" s="3"/>
      <c r="G639" s="11"/>
      <c r="H639" s="3"/>
      <c r="I639" s="3"/>
    </row>
    <row r="640" spans="1:9">
      <c r="A640" s="33"/>
      <c r="B640" s="35"/>
      <c r="C640" s="36" t="s">
        <v>3</v>
      </c>
      <c r="D640" s="30">
        <f>SUM(D630:D639)</f>
        <v>0</v>
      </c>
      <c r="E640" s="38"/>
      <c r="F640" s="3"/>
      <c r="G640" s="11"/>
      <c r="H640" s="3"/>
      <c r="I640" s="3"/>
    </row>
    <row r="641" spans="1:9">
      <c r="A641" s="33"/>
      <c r="B641" s="3"/>
      <c r="C641" s="3"/>
      <c r="D641" s="11"/>
      <c r="E641" s="3"/>
      <c r="F641" s="3"/>
      <c r="G641" s="11"/>
      <c r="H641" s="3"/>
      <c r="I641" s="3"/>
    </row>
    <row r="642" spans="1:9">
      <c r="A642" s="33"/>
      <c r="B642" s="308" t="s">
        <v>349</v>
      </c>
      <c r="C642" s="308"/>
      <c r="D642" s="180">
        <f>SUM(D640,D619)</f>
        <v>72</v>
      </c>
      <c r="E642" s="25"/>
      <c r="F642" s="3"/>
      <c r="G642" s="11"/>
      <c r="H642" s="3"/>
      <c r="I642" s="3"/>
    </row>
    <row r="643" spans="1:9">
      <c r="A643" s="25"/>
      <c r="B643" s="25"/>
      <c r="C643" s="25"/>
      <c r="D643" s="25"/>
      <c r="E643" s="25"/>
      <c r="F643" s="25"/>
      <c r="G643" s="25"/>
      <c r="H643" s="25"/>
      <c r="I643" s="25"/>
    </row>
    <row r="644" spans="1:9">
      <c r="A644" s="25"/>
      <c r="B644" s="25"/>
      <c r="C644" s="25"/>
      <c r="D644" s="25"/>
      <c r="E644" s="25"/>
      <c r="F644" s="25"/>
      <c r="G644" s="25"/>
      <c r="H644" s="25"/>
      <c r="I644" s="25"/>
    </row>
    <row r="645" spans="1:9">
      <c r="A645" s="25"/>
      <c r="B645" s="309" t="s">
        <v>384</v>
      </c>
      <c r="C645" s="309"/>
      <c r="D645" s="309"/>
      <c r="E645" s="25"/>
      <c r="F645" s="25"/>
      <c r="G645" s="25"/>
      <c r="H645" s="25"/>
      <c r="I645" s="25"/>
    </row>
    <row r="646" spans="1:9">
      <c r="A646" s="25"/>
      <c r="B646" s="310"/>
      <c r="C646" s="310"/>
      <c r="D646" s="310"/>
      <c r="E646" s="310"/>
      <c r="F646" s="310"/>
      <c r="G646" s="310"/>
      <c r="H646" s="25"/>
      <c r="I646" s="25"/>
    </row>
    <row r="647" spans="1:9">
      <c r="A647" s="25"/>
      <c r="B647" s="310"/>
      <c r="C647" s="310"/>
      <c r="D647" s="310"/>
      <c r="E647" s="310"/>
      <c r="F647" s="310"/>
      <c r="G647" s="310"/>
      <c r="H647" s="25"/>
      <c r="I647" s="25"/>
    </row>
    <row r="648" spans="1:9">
      <c r="A648" s="25"/>
      <c r="B648" s="310"/>
      <c r="C648" s="310"/>
      <c r="D648" s="310"/>
      <c r="E648" s="310"/>
      <c r="F648" s="310"/>
      <c r="G648" s="310"/>
      <c r="H648" s="25"/>
      <c r="I648" s="25"/>
    </row>
    <row r="649" spans="1:9">
      <c r="A649" s="25"/>
      <c r="B649" s="310"/>
      <c r="C649" s="310"/>
      <c r="D649" s="310"/>
      <c r="E649" s="310"/>
      <c r="F649" s="310"/>
      <c r="G649" s="310"/>
      <c r="H649" s="25"/>
      <c r="I649" s="25"/>
    </row>
    <row r="650" spans="1:9">
      <c r="A650" s="25"/>
      <c r="B650" s="310"/>
      <c r="C650" s="310"/>
      <c r="D650" s="310"/>
      <c r="E650" s="310"/>
      <c r="F650" s="310"/>
      <c r="G650" s="310"/>
      <c r="H650" s="25"/>
      <c r="I650" s="25"/>
    </row>
    <row r="651" spans="1:9">
      <c r="A651" s="181" t="s">
        <v>8</v>
      </c>
    </row>
  </sheetData>
  <sheetProtection algorithmName="SHA-512" hashValue="DTABvIu8NTw/fcU4gwQ0luGU6EACRX1FTycvDLkPghiXSBZYMnb6eL5vielbnkxUu5wDuASKcX2IJr4XRznf7Q==" saltValue="bDodBVT6GriOK4aCCk01EQ==" spinCount="100000" sheet="1" objects="1" scenarios="1"/>
  <sortState ref="B302:D313">
    <sortCondition ref="B302:B313"/>
  </sortState>
  <mergeCells count="105">
    <mergeCell ref="B340:E340"/>
    <mergeCell ref="B453:E453"/>
    <mergeCell ref="B642:C642"/>
    <mergeCell ref="B645:D645"/>
    <mergeCell ref="B646:G650"/>
    <mergeCell ref="B608:C608"/>
    <mergeCell ref="B609:C609"/>
    <mergeCell ref="B610:C610"/>
    <mergeCell ref="B615:C615"/>
    <mergeCell ref="E615:F615"/>
    <mergeCell ref="B602:C602"/>
    <mergeCell ref="F602:G602"/>
    <mergeCell ref="B605:E605"/>
    <mergeCell ref="B606:C606"/>
    <mergeCell ref="B607:C607"/>
    <mergeCell ref="C547:I547"/>
    <mergeCell ref="C548:I548"/>
    <mergeCell ref="C549:I549"/>
    <mergeCell ref="C550:I550"/>
    <mergeCell ref="B584:D584"/>
    <mergeCell ref="F584:H584"/>
    <mergeCell ref="C437:I437"/>
    <mergeCell ref="B419:C419"/>
    <mergeCell ref="B392:C392"/>
    <mergeCell ref="E392:F392"/>
    <mergeCell ref="C546:I546"/>
    <mergeCell ref="B535:D535"/>
    <mergeCell ref="B536:G540"/>
    <mergeCell ref="B505:C505"/>
    <mergeCell ref="E505:F505"/>
    <mergeCell ref="B499:C499"/>
    <mergeCell ref="B500:C500"/>
    <mergeCell ref="B498:C498"/>
    <mergeCell ref="B96:C96"/>
    <mergeCell ref="B127:E127"/>
    <mergeCell ref="B172:C172"/>
    <mergeCell ref="B382:E382"/>
    <mergeCell ref="B383:C383"/>
    <mergeCell ref="B257:D257"/>
    <mergeCell ref="B275:C275"/>
    <mergeCell ref="C114:I114"/>
    <mergeCell ref="B204:C204"/>
    <mergeCell ref="B177:C177"/>
    <mergeCell ref="E177:F177"/>
    <mergeCell ref="B309:D309"/>
    <mergeCell ref="B361:D361"/>
    <mergeCell ref="F361:H361"/>
    <mergeCell ref="B379:C379"/>
    <mergeCell ref="F379:G379"/>
    <mergeCell ref="F257:H257"/>
    <mergeCell ref="C218:I218"/>
    <mergeCell ref="C219:I219"/>
    <mergeCell ref="C220:I220"/>
    <mergeCell ref="C221:I221"/>
    <mergeCell ref="C222:I222"/>
    <mergeCell ref="F275:G275"/>
    <mergeCell ref="B280:C280"/>
    <mergeCell ref="B69:C69"/>
    <mergeCell ref="E69:F69"/>
    <mergeCell ref="B24:E24"/>
    <mergeCell ref="B64:C64"/>
    <mergeCell ref="F64:G64"/>
    <mergeCell ref="C6:I6"/>
    <mergeCell ref="C7:I7"/>
    <mergeCell ref="C8:I8"/>
    <mergeCell ref="C9:I9"/>
    <mergeCell ref="C10:I10"/>
    <mergeCell ref="E280:F280"/>
    <mergeCell ref="B306:C306"/>
    <mergeCell ref="B99:D99"/>
    <mergeCell ref="B100:G104"/>
    <mergeCell ref="B208:G212"/>
    <mergeCell ref="B181:C181"/>
    <mergeCell ref="B207:D207"/>
    <mergeCell ref="F172:G172"/>
    <mergeCell ref="F154:H154"/>
    <mergeCell ref="B154:D154"/>
    <mergeCell ref="C110:I110"/>
    <mergeCell ref="C111:I111"/>
    <mergeCell ref="C112:I112"/>
    <mergeCell ref="C113:I113"/>
    <mergeCell ref="B310:G314"/>
    <mergeCell ref="C320:I320"/>
    <mergeCell ref="C321:I321"/>
    <mergeCell ref="C322:I322"/>
    <mergeCell ref="C323:I323"/>
    <mergeCell ref="C324:I324"/>
    <mergeCell ref="B384:C384"/>
    <mergeCell ref="B385:C385"/>
    <mergeCell ref="B532:C532"/>
    <mergeCell ref="B386:C386"/>
    <mergeCell ref="B387:C387"/>
    <mergeCell ref="B495:E495"/>
    <mergeCell ref="B496:C496"/>
    <mergeCell ref="B497:C497"/>
    <mergeCell ref="B422:D422"/>
    <mergeCell ref="B423:G427"/>
    <mergeCell ref="C433:I433"/>
    <mergeCell ref="C434:I434"/>
    <mergeCell ref="C435:I435"/>
    <mergeCell ref="C436:I436"/>
    <mergeCell ref="B474:D474"/>
    <mergeCell ref="F474:H474"/>
    <mergeCell ref="B492:C492"/>
    <mergeCell ref="F492:G492"/>
  </mergeCells>
  <conditionalFormatting sqref="D12">
    <cfRule type="expression" dxfId="164" priority="127">
      <formula>$F12&lt;&gt;""</formula>
    </cfRule>
  </conditionalFormatting>
  <conditionalFormatting sqref="C6:D9">
    <cfRule type="expression" dxfId="163" priority="125">
      <formula>$F6&lt;&gt;""</formula>
    </cfRule>
  </conditionalFormatting>
  <conditionalFormatting sqref="C4:D4">
    <cfRule type="expression" dxfId="162" priority="124">
      <formula>$F4&lt;&gt;""</formula>
    </cfRule>
  </conditionalFormatting>
  <conditionalFormatting sqref="C42:D42">
    <cfRule type="expression" dxfId="161" priority="123">
      <formula>#REF!&lt;&gt;""</formula>
    </cfRule>
  </conditionalFormatting>
  <conditionalFormatting sqref="D64:D65">
    <cfRule type="expression" dxfId="160" priority="119">
      <formula>#REF!&lt;&gt;""</formula>
    </cfRule>
  </conditionalFormatting>
  <conditionalFormatting sqref="C10:D10">
    <cfRule type="expression" dxfId="159" priority="93">
      <formula>$F10&lt;&gt;""</formula>
    </cfRule>
  </conditionalFormatting>
  <conditionalFormatting sqref="B40:D41 B25:D32 B128:D131 B134:D135">
    <cfRule type="expression" dxfId="158" priority="94">
      <formula>SEARCH("No",$E25)</formula>
    </cfRule>
  </conditionalFormatting>
  <conditionalFormatting sqref="D116">
    <cfRule type="expression" dxfId="157" priority="61">
      <formula>$F116&lt;&gt;""</formula>
    </cfRule>
  </conditionalFormatting>
  <conditionalFormatting sqref="C110:D113">
    <cfRule type="expression" dxfId="156" priority="60">
      <formula>$F110&lt;&gt;""</formula>
    </cfRule>
  </conditionalFormatting>
  <conditionalFormatting sqref="C108:D108">
    <cfRule type="expression" dxfId="155" priority="59">
      <formula>$F108&lt;&gt;""</formula>
    </cfRule>
  </conditionalFormatting>
  <conditionalFormatting sqref="C149:D149">
    <cfRule type="expression" dxfId="154" priority="58">
      <formula>#REF!&lt;&gt;""</formula>
    </cfRule>
  </conditionalFormatting>
  <conditionalFormatting sqref="D172:D173">
    <cfRule type="expression" dxfId="153" priority="57">
      <formula>#REF!&lt;&gt;""</formula>
    </cfRule>
  </conditionalFormatting>
  <conditionalFormatting sqref="C114:D114">
    <cfRule type="expression" dxfId="152" priority="55">
      <formula>$F114&lt;&gt;""</formula>
    </cfRule>
  </conditionalFormatting>
  <conditionalFormatting sqref="B147:D148">
    <cfRule type="expression" dxfId="151" priority="56">
      <formula>SEARCH("No",$E147)</formula>
    </cfRule>
  </conditionalFormatting>
  <conditionalFormatting sqref="D224">
    <cfRule type="expression" dxfId="150" priority="53">
      <formula>$F224&lt;&gt;""</formula>
    </cfRule>
  </conditionalFormatting>
  <conditionalFormatting sqref="C218:D221">
    <cfRule type="expression" dxfId="149" priority="52">
      <formula>$F218&lt;&gt;""</formula>
    </cfRule>
  </conditionalFormatting>
  <conditionalFormatting sqref="C216:D216">
    <cfRule type="expression" dxfId="148" priority="51">
      <formula>$F216&lt;&gt;""</formula>
    </cfRule>
  </conditionalFormatting>
  <conditionalFormatting sqref="C252:D252">
    <cfRule type="expression" dxfId="147" priority="50">
      <formula>#REF!&lt;&gt;""</formula>
    </cfRule>
  </conditionalFormatting>
  <conditionalFormatting sqref="D275:D276">
    <cfRule type="expression" dxfId="146" priority="49">
      <formula>#REF!&lt;&gt;""</formula>
    </cfRule>
  </conditionalFormatting>
  <conditionalFormatting sqref="C222:D222">
    <cfRule type="expression" dxfId="145" priority="47">
      <formula>$F222&lt;&gt;""</formula>
    </cfRule>
  </conditionalFormatting>
  <conditionalFormatting sqref="B250:D251">
    <cfRule type="expression" dxfId="144" priority="48">
      <formula>SEARCH("No",$E250)</formula>
    </cfRule>
  </conditionalFormatting>
  <conditionalFormatting sqref="D326">
    <cfRule type="expression" dxfId="143" priority="46">
      <formula>$F326&lt;&gt;""</formula>
    </cfRule>
  </conditionalFormatting>
  <conditionalFormatting sqref="C320:D323">
    <cfRule type="expression" dxfId="142" priority="45">
      <formula>$F320&lt;&gt;""</formula>
    </cfRule>
  </conditionalFormatting>
  <conditionalFormatting sqref="C318:D318">
    <cfRule type="expression" dxfId="141" priority="44">
      <formula>$F318&lt;&gt;""</formula>
    </cfRule>
  </conditionalFormatting>
  <conditionalFormatting sqref="C356:D356">
    <cfRule type="expression" dxfId="140" priority="43">
      <formula>#REF!&lt;&gt;""</formula>
    </cfRule>
  </conditionalFormatting>
  <conditionalFormatting sqref="D379:D380">
    <cfRule type="expression" dxfId="139" priority="42">
      <formula>#REF!&lt;&gt;""</formula>
    </cfRule>
  </conditionalFormatting>
  <conditionalFormatting sqref="C324:D324">
    <cfRule type="expression" dxfId="138" priority="40">
      <formula>$F324&lt;&gt;""</formula>
    </cfRule>
  </conditionalFormatting>
  <conditionalFormatting sqref="B354:D355">
    <cfRule type="expression" dxfId="137" priority="41">
      <formula>SEARCH("No",$E354)</formula>
    </cfRule>
  </conditionalFormatting>
  <conditionalFormatting sqref="B354:D355 B250:D251 B226:D238 B147:D148 B128:D131 B14:D23 B25:D32 B554:D565 B118:D126 B134:D135 B328:D338 B441:D451">
    <cfRule type="expression" dxfId="136" priority="37">
      <formula>$H14 &lt;&gt;""</formula>
    </cfRule>
  </conditionalFormatting>
  <conditionalFormatting sqref="D439">
    <cfRule type="expression" dxfId="135" priority="36">
      <formula>$F439&lt;&gt;""</formula>
    </cfRule>
  </conditionalFormatting>
  <conditionalFormatting sqref="C433:D436">
    <cfRule type="expression" dxfId="134" priority="35">
      <formula>$F433&lt;&gt;""</formula>
    </cfRule>
  </conditionalFormatting>
  <conditionalFormatting sqref="C431:D431">
    <cfRule type="expression" dxfId="133" priority="34">
      <formula>$F431&lt;&gt;""</formula>
    </cfRule>
  </conditionalFormatting>
  <conditionalFormatting sqref="C469:D469">
    <cfRule type="expression" dxfId="132" priority="33">
      <formula>#REF!&lt;&gt;""</formula>
    </cfRule>
  </conditionalFormatting>
  <conditionalFormatting sqref="D492:D493">
    <cfRule type="expression" dxfId="131" priority="32">
      <formula>#REF!&lt;&gt;""</formula>
    </cfRule>
  </conditionalFormatting>
  <conditionalFormatting sqref="C437:D437">
    <cfRule type="expression" dxfId="130" priority="30">
      <formula>$F437&lt;&gt;""</formula>
    </cfRule>
  </conditionalFormatting>
  <conditionalFormatting sqref="B467:D468">
    <cfRule type="expression" dxfId="129" priority="31">
      <formula>SEARCH("No",$E467)</formula>
    </cfRule>
  </conditionalFormatting>
  <conditionalFormatting sqref="B467:D468">
    <cfRule type="expression" dxfId="128" priority="29">
      <formula>$H467 &lt;&gt;""</formula>
    </cfRule>
  </conditionalFormatting>
  <conditionalFormatting sqref="B383:B386 D383:D386">
    <cfRule type="expression" dxfId="127" priority="28">
      <formula>#REF!&lt;&gt;""</formula>
    </cfRule>
  </conditionalFormatting>
  <conditionalFormatting sqref="D387">
    <cfRule type="expression" dxfId="126" priority="25">
      <formula>D387="Yes"</formula>
    </cfRule>
    <cfRule type="expression" dxfId="125" priority="27">
      <formula>#REF!&lt;&gt;""</formula>
    </cfRule>
  </conditionalFormatting>
  <conditionalFormatting sqref="B387">
    <cfRule type="expression" dxfId="124" priority="26">
      <formula>#REF!&lt;&gt;""</formula>
    </cfRule>
  </conditionalFormatting>
  <conditionalFormatting sqref="B496:B499 D496:D499">
    <cfRule type="expression" dxfId="123" priority="24">
      <formula>#REF!&lt;&gt;""</formula>
    </cfRule>
  </conditionalFormatting>
  <conditionalFormatting sqref="B500">
    <cfRule type="expression" dxfId="122" priority="22">
      <formula>#REF!&lt;&gt;""</formula>
    </cfRule>
  </conditionalFormatting>
  <conditionalFormatting sqref="D500">
    <cfRule type="expression" dxfId="121" priority="20">
      <formula>D500="Yes"</formula>
    </cfRule>
  </conditionalFormatting>
  <conditionalFormatting sqref="D552">
    <cfRule type="expression" dxfId="120" priority="19">
      <formula>$F552&lt;&gt;""</formula>
    </cfRule>
  </conditionalFormatting>
  <conditionalFormatting sqref="C546:D549">
    <cfRule type="expression" dxfId="119" priority="18">
      <formula>$F546&lt;&gt;""</formula>
    </cfRule>
  </conditionalFormatting>
  <conditionalFormatting sqref="C544:D544">
    <cfRule type="expression" dxfId="118" priority="17">
      <formula>$F544&lt;&gt;""</formula>
    </cfRule>
  </conditionalFormatting>
  <conditionalFormatting sqref="C579:D579">
    <cfRule type="expression" dxfId="117" priority="16">
      <formula>#REF!&lt;&gt;""</formula>
    </cfRule>
  </conditionalFormatting>
  <conditionalFormatting sqref="D602:D603">
    <cfRule type="expression" dxfId="116" priority="15">
      <formula>#REF!&lt;&gt;""</formula>
    </cfRule>
  </conditionalFormatting>
  <conditionalFormatting sqref="C550:D550">
    <cfRule type="expression" dxfId="115" priority="13">
      <formula>$F550&lt;&gt;""</formula>
    </cfRule>
  </conditionalFormatting>
  <conditionalFormatting sqref="B577:D578">
    <cfRule type="expression" dxfId="114" priority="14">
      <formula>SEARCH("No",$E577)</formula>
    </cfRule>
  </conditionalFormatting>
  <conditionalFormatting sqref="B577:D578">
    <cfRule type="expression" dxfId="113" priority="12">
      <formula>$H577 &lt;&gt;""</formula>
    </cfRule>
  </conditionalFormatting>
  <conditionalFormatting sqref="B606:B609 D606:D609">
    <cfRule type="expression" dxfId="112" priority="11">
      <formula>#REF!&lt;&gt;""</formula>
    </cfRule>
  </conditionalFormatting>
  <conditionalFormatting sqref="B610">
    <cfRule type="expression" dxfId="111" priority="10">
      <formula>#REF!&lt;&gt;""</formula>
    </cfRule>
  </conditionalFormatting>
  <conditionalFormatting sqref="D610">
    <cfRule type="expression" dxfId="110" priority="9">
      <formula>D610="Yes"</formula>
    </cfRule>
  </conditionalFormatting>
  <conditionalFormatting sqref="B132:D133">
    <cfRule type="expression" dxfId="109" priority="8">
      <formula>SEARCH("No",$E132)</formula>
    </cfRule>
  </conditionalFormatting>
  <conditionalFormatting sqref="B132:D133">
    <cfRule type="expression" dxfId="108" priority="7">
      <formula>$H132 &lt;&gt;""</formula>
    </cfRule>
  </conditionalFormatting>
  <conditionalFormatting sqref="B341:D342">
    <cfRule type="expression" dxfId="107" priority="6">
      <formula>SEARCH("No",$E341)</formula>
    </cfRule>
  </conditionalFormatting>
  <conditionalFormatting sqref="B341:D342">
    <cfRule type="expression" dxfId="106" priority="5">
      <formula>$H341 &lt;&gt;""</formula>
    </cfRule>
  </conditionalFormatting>
  <conditionalFormatting sqref="B339:D339">
    <cfRule type="expression" dxfId="105" priority="4">
      <formula>$H339 &lt;&gt;""</formula>
    </cfRule>
  </conditionalFormatting>
  <conditionalFormatting sqref="B454:D455">
    <cfRule type="expression" dxfId="104" priority="3">
      <formula>SEARCH("No",$E454)</formula>
    </cfRule>
  </conditionalFormatting>
  <conditionalFormatting sqref="B454:D455">
    <cfRule type="expression" dxfId="103" priority="2">
      <formula>$H454 &lt;&gt;""</formula>
    </cfRule>
  </conditionalFormatting>
  <conditionalFormatting sqref="B452:D452">
    <cfRule type="expression" dxfId="102" priority="1">
      <formula>$H452 &lt;&gt;""</formula>
    </cfRule>
  </conditionalFormatting>
  <dataValidations count="6">
    <dataValidation type="list" allowBlank="1" showInputMessage="1" showErrorMessage="1" sqref="C37 C144 C247 C351 C464 C574">
      <formula1>minorlist</formula1>
    </dataValidation>
    <dataValidation type="list" allowBlank="1" showInputMessage="1" showErrorMessage="1" sqref="C38 C145 C248 C352 C465 C575">
      <formula1>prospectuslist</formula1>
    </dataValidation>
    <dataValidation type="list" allowBlank="1" showInputMessage="1" showErrorMessage="1" sqref="E1:E23 E25:E65 E245:E276 E67:E81 E142:E173 E541:E567 E213:E240 E105:E126 E493 E390:E404 E278:E291 E175:E189 E341:E344 E380:E381 E503:E517 E462:E475 E349:E362 E651:E1048576 E603 E613:E627 E572:E585 E128:E137 E315:E339 E454:E457 E428:E452">
      <formula1>YesNoMain</formula1>
    </dataValidation>
    <dataValidation type="list" allowBlank="1" showInputMessage="1" showErrorMessage="1" sqref="C48:C63 C156:C171 C259:C274">
      <formula1>math_elective_selection</formula1>
    </dataValidation>
    <dataValidation type="list" allowBlank="1" showInputMessage="1" showErrorMessage="1" sqref="C363:C378 C476:C491">
      <formula1>math_electives_2016_selectie</formula1>
    </dataValidation>
    <dataValidation type="list" allowBlank="1" showInputMessage="1" showErrorMessage="1" sqref="C586:C601">
      <formula1>math_electives_2018_selectie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4"/>
  <sheetViews>
    <sheetView topLeftCell="A49" workbookViewId="0">
      <selection activeCell="F31" sqref="F31"/>
    </sheetView>
  </sheetViews>
  <sheetFormatPr defaultRowHeight="15"/>
  <cols>
    <col min="1" max="1" width="23.5703125" style="115" customWidth="1"/>
    <col min="2" max="2" width="33" style="77" customWidth="1"/>
    <col min="3" max="3" width="9.42578125" style="116" customWidth="1"/>
    <col min="4" max="4" width="13.85546875" style="112" customWidth="1"/>
    <col min="5" max="5" width="14.140625" style="257" customWidth="1"/>
    <col min="6" max="6" width="36.28515625" style="77" customWidth="1"/>
    <col min="7" max="7" width="9.140625" style="116"/>
    <col min="8" max="8" width="9.140625" style="69"/>
    <col min="9" max="9" width="17.42578125" style="77" customWidth="1"/>
    <col min="10" max="10" width="31.42578125" style="77" customWidth="1"/>
    <col min="11" max="11" width="20.28515625" style="77" customWidth="1"/>
    <col min="12" max="12" width="9.140625" style="93"/>
    <col min="13" max="15" width="23.7109375" style="77" customWidth="1"/>
    <col min="16" max="16" width="9.140625" style="93"/>
    <col min="17" max="19" width="26.140625" style="77" customWidth="1"/>
    <col min="20" max="20" width="9.140625" style="93"/>
    <col min="21" max="16384" width="9.140625" style="77"/>
  </cols>
  <sheetData>
    <row r="1" spans="1:9">
      <c r="A1" s="72" t="s">
        <v>50</v>
      </c>
      <c r="B1" s="73" t="s">
        <v>51</v>
      </c>
      <c r="C1" s="74" t="s">
        <v>52</v>
      </c>
      <c r="D1" s="75"/>
      <c r="E1" s="103"/>
      <c r="F1" s="54"/>
      <c r="G1" s="57"/>
      <c r="I1" s="69"/>
    </row>
    <row r="2" spans="1:9">
      <c r="A2" s="78" t="s">
        <v>37</v>
      </c>
      <c r="B2" s="49" t="s">
        <v>38</v>
      </c>
      <c r="C2" s="50" t="s">
        <v>2</v>
      </c>
      <c r="D2" s="75" t="s">
        <v>53</v>
      </c>
      <c r="E2" s="103"/>
      <c r="F2" s="54"/>
      <c r="G2" s="57"/>
      <c r="I2" s="70"/>
    </row>
    <row r="3" spans="1:9" ht="23.25">
      <c r="A3" s="79" t="s">
        <v>54</v>
      </c>
      <c r="B3" s="80"/>
      <c r="C3" s="81"/>
      <c r="D3" s="255"/>
      <c r="E3" s="296" t="s">
        <v>539</v>
      </c>
      <c r="F3" s="54"/>
      <c r="G3" s="57"/>
    </row>
    <row r="4" spans="1:9">
      <c r="A4" s="64" t="s">
        <v>476</v>
      </c>
      <c r="B4" s="51"/>
      <c r="C4" s="52"/>
      <c r="D4" s="65"/>
      <c r="E4" s="103"/>
      <c r="F4" s="54"/>
      <c r="G4" s="57"/>
    </row>
    <row r="5" spans="1:9">
      <c r="A5" s="64" t="s">
        <v>56</v>
      </c>
      <c r="B5" s="51" t="str">
        <f>"Gasdynamica"</f>
        <v>Gasdynamica</v>
      </c>
      <c r="C5" s="52">
        <v>3</v>
      </c>
      <c r="D5" s="65" t="s">
        <v>44</v>
      </c>
      <c r="E5" s="103"/>
      <c r="F5" s="54"/>
      <c r="G5" s="57"/>
    </row>
    <row r="6" spans="1:9">
      <c r="A6" s="64" t="s">
        <v>57</v>
      </c>
      <c r="B6" s="51" t="str">
        <f>"Inl. Alg. Relativiteitstheorie"</f>
        <v>Inl. Alg. Relativiteitstheorie</v>
      </c>
      <c r="C6" s="52">
        <v>3</v>
      </c>
      <c r="D6" s="65" t="s">
        <v>44</v>
      </c>
      <c r="E6" s="103"/>
      <c r="F6" s="54"/>
      <c r="G6" s="57"/>
    </row>
    <row r="7" spans="1:9">
      <c r="A7" s="64" t="s">
        <v>58</v>
      </c>
      <c r="B7" s="51" t="str">
        <f>"Elektronica"</f>
        <v>Elektronica</v>
      </c>
      <c r="C7" s="52">
        <v>3</v>
      </c>
      <c r="D7" s="65" t="s">
        <v>44</v>
      </c>
      <c r="E7" s="103"/>
      <c r="F7" s="54"/>
      <c r="G7" s="57"/>
    </row>
    <row r="8" spans="1:9">
      <c r="A8" s="64" t="s">
        <v>59</v>
      </c>
      <c r="B8" s="51" t="str">
        <f>"Tensoren en Toepassingen"</f>
        <v>Tensoren en Toepassingen</v>
      </c>
      <c r="C8" s="52">
        <v>3</v>
      </c>
      <c r="D8" s="65" t="s">
        <v>44</v>
      </c>
      <c r="E8" s="103"/>
      <c r="F8" s="54"/>
      <c r="G8" s="57"/>
    </row>
    <row r="9" spans="1:9">
      <c r="A9" s="64" t="s">
        <v>60</v>
      </c>
      <c r="B9" s="51" t="str">
        <f>"Inleiding Groepentheorie"</f>
        <v>Inleiding Groepentheorie</v>
      </c>
      <c r="C9" s="52">
        <v>3</v>
      </c>
      <c r="D9" s="65" t="s">
        <v>44</v>
      </c>
      <c r="E9" s="103"/>
      <c r="F9" s="54"/>
      <c r="G9" s="57"/>
    </row>
    <row r="10" spans="1:9">
      <c r="A10" s="59" t="s">
        <v>6</v>
      </c>
      <c r="B10" s="184" t="s">
        <v>435</v>
      </c>
      <c r="C10" s="52"/>
      <c r="D10" s="65"/>
      <c r="E10" s="103"/>
      <c r="F10" s="54"/>
      <c r="G10" s="57"/>
    </row>
    <row r="11" spans="1:9">
      <c r="A11" s="82" t="s">
        <v>61</v>
      </c>
      <c r="B11" s="83" t="str">
        <f>"Neurofysica 1"</f>
        <v>Neurofysica 1</v>
      </c>
      <c r="C11" s="84">
        <v>3</v>
      </c>
      <c r="D11" s="85"/>
      <c r="E11" s="103"/>
      <c r="F11" s="54"/>
      <c r="G11" s="57"/>
    </row>
    <row r="12" spans="1:9">
      <c r="A12" s="82" t="s">
        <v>62</v>
      </c>
      <c r="B12" s="83" t="str">
        <f>"Atoom- en Molecuulfysica"</f>
        <v>Atoom- en Molecuulfysica</v>
      </c>
      <c r="C12" s="84">
        <v>3</v>
      </c>
      <c r="D12" s="85"/>
      <c r="E12" s="103"/>
      <c r="F12" s="54"/>
      <c r="G12" s="57"/>
    </row>
    <row r="13" spans="1:9">
      <c r="A13" s="82" t="s">
        <v>63</v>
      </c>
      <c r="B13" s="83" t="str">
        <f>"Fysica van Oppervlakken"</f>
        <v>Fysica van Oppervlakken</v>
      </c>
      <c r="C13" s="84">
        <v>3</v>
      </c>
      <c r="D13" s="85"/>
      <c r="E13" s="103"/>
      <c r="F13" s="54"/>
      <c r="G13" s="57"/>
    </row>
    <row r="14" spans="1:9">
      <c r="A14" s="82" t="s">
        <v>64</v>
      </c>
      <c r="B14" s="83" t="str">
        <f>"Subatomaire Fysica"</f>
        <v>Subatomaire Fysica</v>
      </c>
      <c r="C14" s="84">
        <v>3</v>
      </c>
      <c r="D14" s="85"/>
      <c r="E14" s="103"/>
      <c r="F14" s="54"/>
      <c r="G14" s="57"/>
    </row>
    <row r="15" spans="1:9">
      <c r="A15" s="275"/>
      <c r="B15" s="276" t="s">
        <v>436</v>
      </c>
      <c r="C15" s="277"/>
      <c r="D15" s="277"/>
      <c r="E15" s="103"/>
      <c r="F15" s="54"/>
      <c r="G15" s="57"/>
    </row>
    <row r="16" spans="1:9">
      <c r="A16" s="275"/>
      <c r="B16" s="276" t="s">
        <v>437</v>
      </c>
      <c r="C16" s="277"/>
      <c r="D16" s="277"/>
      <c r="E16" s="103"/>
      <c r="F16" s="54"/>
      <c r="G16" s="57"/>
    </row>
    <row r="17" spans="1:12">
      <c r="A17" s="278"/>
      <c r="B17" s="279"/>
      <c r="C17" s="280"/>
      <c r="D17" s="280"/>
      <c r="E17" s="103"/>
      <c r="F17" s="54"/>
      <c r="G17" s="57"/>
    </row>
    <row r="18" spans="1:12">
      <c r="A18" s="278"/>
      <c r="B18" s="279"/>
      <c r="C18" s="280"/>
      <c r="D18" s="280"/>
      <c r="E18" s="103"/>
      <c r="F18" s="54"/>
      <c r="G18" s="57"/>
    </row>
    <row r="19" spans="1:12">
      <c r="A19" s="278"/>
      <c r="B19" s="279"/>
      <c r="C19" s="280"/>
      <c r="D19" s="280"/>
      <c r="E19" s="103"/>
      <c r="F19" s="54"/>
      <c r="G19" s="57"/>
    </row>
    <row r="20" spans="1:12">
      <c r="A20" s="328" t="s">
        <v>438</v>
      </c>
      <c r="B20" s="329"/>
      <c r="C20" s="330"/>
      <c r="D20" s="281"/>
      <c r="E20" s="103"/>
      <c r="F20" s="54"/>
      <c r="G20" s="57"/>
    </row>
    <row r="21" spans="1:12">
      <c r="A21" s="64" t="s">
        <v>45</v>
      </c>
      <c r="B21" s="51"/>
      <c r="C21" s="52"/>
      <c r="D21" s="65"/>
      <c r="E21" s="103"/>
      <c r="F21" s="54"/>
      <c r="G21" s="57"/>
    </row>
    <row r="22" spans="1:12" ht="23.25">
      <c r="A22" s="86" t="s">
        <v>65</v>
      </c>
      <c r="B22" s="87"/>
      <c r="C22" s="88"/>
      <c r="D22" s="256"/>
      <c r="E22" s="296" t="s">
        <v>540</v>
      </c>
      <c r="F22" s="54"/>
      <c r="G22" s="57"/>
    </row>
    <row r="23" spans="1:12">
      <c r="A23" s="115" t="s">
        <v>477</v>
      </c>
      <c r="E23" s="64" t="s">
        <v>439</v>
      </c>
      <c r="F23" s="51"/>
      <c r="G23" s="52"/>
      <c r="H23" s="65"/>
      <c r="I23" s="64">
        <v>2015</v>
      </c>
      <c r="J23" s="51"/>
      <c r="K23" s="52"/>
      <c r="L23" s="65"/>
    </row>
    <row r="24" spans="1:12">
      <c r="A24" s="64" t="s">
        <v>67</v>
      </c>
      <c r="B24" s="89" t="s">
        <v>68</v>
      </c>
      <c r="C24" s="52">
        <v>6</v>
      </c>
      <c r="D24" s="65" t="s">
        <v>44</v>
      </c>
      <c r="E24" s="64" t="s">
        <v>67</v>
      </c>
      <c r="F24" s="89" t="s">
        <v>68</v>
      </c>
      <c r="G24" s="52">
        <v>6</v>
      </c>
      <c r="H24" s="65" t="s">
        <v>44</v>
      </c>
      <c r="I24" s="64" t="s">
        <v>67</v>
      </c>
      <c r="J24" s="89" t="s">
        <v>68</v>
      </c>
      <c r="K24" s="52">
        <v>6</v>
      </c>
      <c r="L24" s="65" t="s">
        <v>44</v>
      </c>
    </row>
    <row r="25" spans="1:12">
      <c r="A25" s="64" t="s">
        <v>69</v>
      </c>
      <c r="B25" s="51" t="s">
        <v>70</v>
      </c>
      <c r="C25" s="52">
        <v>6</v>
      </c>
      <c r="D25" s="65" t="s">
        <v>44</v>
      </c>
      <c r="E25" s="64" t="s">
        <v>69</v>
      </c>
      <c r="F25" s="51" t="s">
        <v>70</v>
      </c>
      <c r="G25" s="52">
        <v>6</v>
      </c>
      <c r="H25" s="65" t="s">
        <v>44</v>
      </c>
      <c r="I25" s="64" t="s">
        <v>71</v>
      </c>
      <c r="J25" s="89" t="s">
        <v>72</v>
      </c>
      <c r="K25" s="52">
        <v>6</v>
      </c>
      <c r="L25" s="65" t="s">
        <v>44</v>
      </c>
    </row>
    <row r="26" spans="1:12">
      <c r="A26" s="64" t="s">
        <v>73</v>
      </c>
      <c r="B26" s="51" t="s">
        <v>74</v>
      </c>
      <c r="C26" s="52">
        <v>6</v>
      </c>
      <c r="D26" s="65" t="s">
        <v>44</v>
      </c>
      <c r="E26" s="64" t="s">
        <v>73</v>
      </c>
      <c r="F26" s="51" t="s">
        <v>74</v>
      </c>
      <c r="G26" s="52">
        <v>6</v>
      </c>
      <c r="H26" s="65" t="s">
        <v>44</v>
      </c>
      <c r="I26" s="64" t="s">
        <v>75</v>
      </c>
      <c r="J26" s="51" t="s">
        <v>76</v>
      </c>
      <c r="K26" s="52">
        <v>6</v>
      </c>
      <c r="L26" s="65" t="s">
        <v>44</v>
      </c>
    </row>
    <row r="27" spans="1:12">
      <c r="B27" s="184" t="s">
        <v>84</v>
      </c>
      <c r="E27" s="64" t="s">
        <v>45</v>
      </c>
      <c r="F27" s="51"/>
      <c r="G27" s="52"/>
      <c r="H27" s="65"/>
      <c r="I27" s="64" t="s">
        <v>45</v>
      </c>
      <c r="J27" s="51"/>
      <c r="K27" s="52"/>
      <c r="L27" s="65"/>
    </row>
    <row r="28" spans="1:12">
      <c r="A28" s="115" t="s">
        <v>478</v>
      </c>
      <c r="B28" s="291" t="s">
        <v>479</v>
      </c>
      <c r="C28" s="116">
        <v>6</v>
      </c>
      <c r="E28" s="103"/>
      <c r="F28" s="76"/>
      <c r="G28" s="104"/>
      <c r="H28" s="105"/>
      <c r="I28" s="103"/>
      <c r="J28" s="76"/>
      <c r="K28" s="104"/>
      <c r="L28" s="105"/>
    </row>
    <row r="29" spans="1:12">
      <c r="A29" s="115" t="s">
        <v>480</v>
      </c>
      <c r="B29" s="291" t="s">
        <v>481</v>
      </c>
      <c r="C29" s="116">
        <v>6</v>
      </c>
      <c r="E29" s="103"/>
      <c r="F29" s="76"/>
      <c r="G29" s="104"/>
      <c r="H29" s="105"/>
      <c r="I29" s="103"/>
      <c r="J29" s="76"/>
      <c r="K29" s="104"/>
      <c r="L29" s="105"/>
    </row>
    <row r="30" spans="1:12">
      <c r="A30" s="64" t="s">
        <v>45</v>
      </c>
      <c r="E30" s="103"/>
      <c r="F30" s="76"/>
      <c r="G30" s="104"/>
      <c r="H30" s="105"/>
      <c r="I30" s="103"/>
      <c r="J30" s="76"/>
      <c r="K30" s="104"/>
      <c r="L30" s="105"/>
    </row>
    <row r="31" spans="1:12" ht="23.25">
      <c r="A31" s="90" t="s">
        <v>380</v>
      </c>
      <c r="B31" s="54"/>
      <c r="C31" s="57"/>
      <c r="E31" s="103"/>
      <c r="F31" s="54"/>
      <c r="G31" s="57"/>
    </row>
    <row r="32" spans="1:12">
      <c r="A32" s="59" t="s">
        <v>482</v>
      </c>
      <c r="B32" s="54"/>
      <c r="C32" s="57"/>
      <c r="E32" s="296" t="s">
        <v>541</v>
      </c>
      <c r="F32" s="54"/>
      <c r="G32" s="57"/>
    </row>
    <row r="33" spans="1:8">
      <c r="A33" s="64" t="s">
        <v>77</v>
      </c>
      <c r="B33" s="51" t="str">
        <f>"Sterevolutie"</f>
        <v>Sterevolutie</v>
      </c>
      <c r="C33" s="52">
        <v>3</v>
      </c>
      <c r="D33" s="65" t="s">
        <v>44</v>
      </c>
      <c r="F33" s="54"/>
      <c r="G33" s="57"/>
    </row>
    <row r="34" spans="1:8">
      <c r="A34" s="64" t="s">
        <v>78</v>
      </c>
      <c r="B34" s="51" t="str">
        <f>"Planetenstelsels"</f>
        <v>Planetenstelsels</v>
      </c>
      <c r="C34" s="52">
        <v>3</v>
      </c>
      <c r="D34" s="65" t="s">
        <v>44</v>
      </c>
      <c r="E34" s="103"/>
      <c r="F34" s="54"/>
      <c r="G34" s="57"/>
    </row>
    <row r="35" spans="1:8">
      <c r="A35" s="64" t="s">
        <v>79</v>
      </c>
      <c r="B35" s="51" t="str">
        <f>"Sterrenstelsels"</f>
        <v>Sterrenstelsels</v>
      </c>
      <c r="C35" s="52">
        <v>3</v>
      </c>
      <c r="D35" s="65" t="s">
        <v>44</v>
      </c>
      <c r="E35" s="103"/>
      <c r="F35" s="54"/>
      <c r="G35" s="57"/>
    </row>
    <row r="36" spans="1:8">
      <c r="A36" s="64" t="s">
        <v>80</v>
      </c>
      <c r="B36" s="51" t="str">
        <f>"Space Astronomy"</f>
        <v>Space Astronomy</v>
      </c>
      <c r="C36" s="52">
        <v>3</v>
      </c>
      <c r="D36" s="65" t="s">
        <v>44</v>
      </c>
      <c r="E36" s="103"/>
      <c r="F36" s="54"/>
      <c r="G36" s="57"/>
    </row>
    <row r="37" spans="1:8">
      <c r="A37" s="64" t="s">
        <v>81</v>
      </c>
      <c r="B37" s="51" t="str">
        <f>"Stralingsprocessen"</f>
        <v>Stralingsprocessen</v>
      </c>
      <c r="C37" s="52">
        <v>3</v>
      </c>
      <c r="D37" s="65" t="s">
        <v>44</v>
      </c>
      <c r="E37" s="103"/>
      <c r="F37" s="54"/>
      <c r="G37" s="57"/>
    </row>
    <row r="38" spans="1:8">
      <c r="A38" s="64" t="s">
        <v>82</v>
      </c>
      <c r="B38" s="51" t="str">
        <f>"Interstellair Medium"</f>
        <v>Interstellair Medium</v>
      </c>
      <c r="C38" s="52">
        <v>3</v>
      </c>
      <c r="D38" s="65" t="s">
        <v>44</v>
      </c>
      <c r="E38" s="103"/>
      <c r="F38" s="54"/>
      <c r="G38" s="57"/>
    </row>
    <row r="39" spans="1:8">
      <c r="A39" s="64" t="s">
        <v>83</v>
      </c>
      <c r="B39" s="51" t="str">
        <f>"Radioastronomie"</f>
        <v>Radioastronomie</v>
      </c>
      <c r="C39" s="52">
        <v>3</v>
      </c>
      <c r="D39" s="65" t="s">
        <v>44</v>
      </c>
      <c r="E39" s="103"/>
      <c r="F39" s="54"/>
      <c r="G39" s="57"/>
    </row>
    <row r="40" spans="1:8">
      <c r="A40" s="64" t="s">
        <v>59</v>
      </c>
      <c r="B40" s="51" t="str">
        <f>"Tensoren en Toepassingen"</f>
        <v>Tensoren en Toepassingen</v>
      </c>
      <c r="C40" s="52">
        <v>3</v>
      </c>
      <c r="D40" s="65" t="s">
        <v>44</v>
      </c>
      <c r="E40" s="103"/>
      <c r="F40" s="54"/>
      <c r="G40" s="57"/>
    </row>
    <row r="41" spans="1:8">
      <c r="A41" s="64" t="s">
        <v>57</v>
      </c>
      <c r="B41" s="51" t="str">
        <f>"Inl. Alg. Relativiteitstheorie"</f>
        <v>Inl. Alg. Relativiteitstheorie</v>
      </c>
      <c r="C41" s="52">
        <v>3</v>
      </c>
      <c r="D41" s="65" t="s">
        <v>44</v>
      </c>
      <c r="E41" s="103"/>
      <c r="F41" s="54"/>
      <c r="G41" s="57"/>
    </row>
    <row r="42" spans="1:8">
      <c r="A42" s="59" t="s">
        <v>6</v>
      </c>
      <c r="B42" s="184" t="s">
        <v>84</v>
      </c>
      <c r="C42" s="52"/>
      <c r="D42" s="65"/>
      <c r="E42" s="103"/>
      <c r="F42" s="54"/>
      <c r="G42" s="57"/>
    </row>
    <row r="43" spans="1:8">
      <c r="A43" s="91" t="s">
        <v>60</v>
      </c>
      <c r="B43" s="66" t="str">
        <f>"Inleiding Groepentheorie"</f>
        <v>Inleiding Groepentheorie</v>
      </c>
      <c r="C43" s="67">
        <v>3</v>
      </c>
      <c r="D43" s="68"/>
      <c r="E43" s="103"/>
      <c r="F43" s="54"/>
      <c r="G43" s="57"/>
    </row>
    <row r="44" spans="1:8">
      <c r="A44" s="91" t="s">
        <v>56</v>
      </c>
      <c r="B44" s="66" t="str">
        <f>"Gasdynamica"</f>
        <v>Gasdynamica</v>
      </c>
      <c r="C44" s="67">
        <v>3</v>
      </c>
      <c r="D44" s="68"/>
      <c r="E44" s="103"/>
      <c r="F44" s="54"/>
      <c r="G44" s="57"/>
    </row>
    <row r="45" spans="1:8">
      <c r="A45" s="91" t="s">
        <v>85</v>
      </c>
      <c r="B45" s="66" t="str">
        <f>"Nucleaire Evolutie Heelal"</f>
        <v>Nucleaire Evolutie Heelal</v>
      </c>
      <c r="C45" s="67">
        <v>3</v>
      </c>
      <c r="D45" s="68"/>
      <c r="E45" s="103"/>
      <c r="F45" s="54"/>
      <c r="G45" s="57"/>
    </row>
    <row r="46" spans="1:8">
      <c r="A46" s="64" t="s">
        <v>45</v>
      </c>
      <c r="B46" s="51"/>
      <c r="C46" s="52"/>
      <c r="D46" s="65"/>
      <c r="E46" s="64"/>
      <c r="F46" s="51"/>
      <c r="G46" s="52"/>
      <c r="H46" s="65"/>
    </row>
    <row r="47" spans="1:8" ht="23.25">
      <c r="A47" s="90" t="s">
        <v>33</v>
      </c>
      <c r="B47" s="54"/>
      <c r="C47" s="57"/>
      <c r="E47" s="103"/>
      <c r="F47" s="54"/>
      <c r="G47" s="57"/>
    </row>
    <row r="48" spans="1:8">
      <c r="A48" s="59" t="s">
        <v>440</v>
      </c>
      <c r="B48" s="54"/>
      <c r="C48" s="57"/>
      <c r="E48" s="296" t="s">
        <v>542</v>
      </c>
      <c r="F48" s="54"/>
      <c r="G48" s="57"/>
    </row>
    <row r="49" spans="1:12">
      <c r="A49" s="64" t="s">
        <v>86</v>
      </c>
      <c r="B49" s="51" t="str">
        <f>"Dierfysiologie"</f>
        <v>Dierfysiologie</v>
      </c>
      <c r="C49" s="52">
        <v>6</v>
      </c>
      <c r="D49" s="65" t="s">
        <v>44</v>
      </c>
      <c r="E49" s="59" t="s">
        <v>477</v>
      </c>
      <c r="F49" s="54"/>
      <c r="G49" s="57"/>
    </row>
    <row r="50" spans="1:12">
      <c r="A50" s="64" t="s">
        <v>87</v>
      </c>
      <c r="B50" s="51" t="str">
        <f>"Plantenfysiologie"</f>
        <v>Plantenfysiologie</v>
      </c>
      <c r="C50" s="52">
        <v>6</v>
      </c>
      <c r="D50" s="65" t="s">
        <v>44</v>
      </c>
      <c r="E50" s="328" t="s">
        <v>483</v>
      </c>
      <c r="F50" s="329"/>
      <c r="G50" s="330"/>
    </row>
    <row r="51" spans="1:12">
      <c r="A51" s="59" t="s">
        <v>6</v>
      </c>
      <c r="B51" s="184" t="s">
        <v>84</v>
      </c>
      <c r="C51" s="52"/>
      <c r="D51" s="65"/>
      <c r="E51" s="328"/>
      <c r="F51" s="329"/>
      <c r="G51" s="330"/>
    </row>
    <row r="52" spans="1:12">
      <c r="A52" s="91" t="s">
        <v>88</v>
      </c>
      <c r="B52" s="66" t="str">
        <f>"Immunology"</f>
        <v>Immunology</v>
      </c>
      <c r="C52" s="67">
        <v>6</v>
      </c>
      <c r="D52" s="68"/>
      <c r="E52" s="61" t="s">
        <v>45</v>
      </c>
      <c r="F52" s="62"/>
      <c r="G52" s="63"/>
    </row>
    <row r="53" spans="1:12">
      <c r="A53" s="91" t="s">
        <v>89</v>
      </c>
      <c r="B53" s="66" t="str">
        <f>"Neurodevelopment"</f>
        <v>Neurodevelopment</v>
      </c>
      <c r="C53" s="67">
        <v>6</v>
      </c>
      <c r="D53" s="68"/>
      <c r="E53" s="103"/>
      <c r="F53" s="54"/>
      <c r="G53" s="57"/>
    </row>
    <row r="54" spans="1:12">
      <c r="A54" s="91" t="s">
        <v>90</v>
      </c>
      <c r="B54" s="66" t="str">
        <f>"Neurobiofysica"</f>
        <v>Neurobiofysica</v>
      </c>
      <c r="C54" s="67">
        <v>6</v>
      </c>
      <c r="D54" s="68"/>
      <c r="E54" s="103"/>
      <c r="F54" s="54"/>
      <c r="G54" s="57"/>
    </row>
    <row r="55" spans="1:12">
      <c r="A55" s="91" t="s">
        <v>91</v>
      </c>
      <c r="B55" s="66" t="str">
        <f>"Geographic Information Systems"</f>
        <v>Geographic Information Systems</v>
      </c>
      <c r="C55" s="67">
        <v>6</v>
      </c>
      <c r="D55" s="68"/>
      <c r="E55" s="103"/>
      <c r="F55" s="54"/>
      <c r="G55" s="57"/>
    </row>
    <row r="56" spans="1:12">
      <c r="A56" s="91" t="s">
        <v>92</v>
      </c>
      <c r="B56" s="66" t="str">
        <f>"Molecular Principles of Development"</f>
        <v>Molecular Principles of Development</v>
      </c>
      <c r="C56" s="67">
        <v>6</v>
      </c>
      <c r="D56" s="68"/>
      <c r="E56" s="103"/>
      <c r="F56" s="54"/>
      <c r="G56" s="57"/>
    </row>
    <row r="57" spans="1:12">
      <c r="A57" s="91" t="s">
        <v>93</v>
      </c>
      <c r="B57" s="66" t="str">
        <f>"Applied Bioinformatics"</f>
        <v>Applied Bioinformatics</v>
      </c>
      <c r="C57" s="67">
        <v>6</v>
      </c>
      <c r="D57" s="68"/>
      <c r="E57" s="103"/>
      <c r="F57" s="54"/>
      <c r="G57" s="57"/>
    </row>
    <row r="58" spans="1:12">
      <c r="A58" s="64" t="s">
        <v>45</v>
      </c>
      <c r="B58" s="51"/>
      <c r="C58" s="52"/>
      <c r="D58" s="65"/>
      <c r="E58" s="103"/>
      <c r="F58" s="54"/>
      <c r="G58" s="57"/>
    </row>
    <row r="59" spans="1:12" ht="23.25">
      <c r="A59" s="90" t="s">
        <v>94</v>
      </c>
      <c r="B59" s="54"/>
      <c r="C59" s="57"/>
      <c r="E59" s="296" t="s">
        <v>543</v>
      </c>
      <c r="F59" s="54"/>
      <c r="G59" s="57"/>
    </row>
    <row r="60" spans="1:12">
      <c r="A60" s="64" t="s">
        <v>484</v>
      </c>
      <c r="B60" s="51"/>
      <c r="C60" s="52"/>
      <c r="D60" s="65"/>
      <c r="E60" s="64">
        <v>2015</v>
      </c>
      <c r="F60" s="51"/>
      <c r="G60" s="52"/>
      <c r="H60" s="92"/>
      <c r="I60" s="59" t="s">
        <v>43</v>
      </c>
      <c r="J60" s="54"/>
      <c r="K60" s="57"/>
      <c r="L60" s="112"/>
    </row>
    <row r="61" spans="1:12">
      <c r="A61" s="51" t="s">
        <v>95</v>
      </c>
      <c r="B61" s="51" t="str">
        <f>"Essentials of Organic Chemistry"</f>
        <v>Essentials of Organic Chemistry</v>
      </c>
      <c r="C61" s="52">
        <v>6</v>
      </c>
      <c r="D61" s="65" t="s">
        <v>44</v>
      </c>
      <c r="E61" s="64" t="s">
        <v>95</v>
      </c>
      <c r="F61" s="51" t="str">
        <f>"Essentials of Organic Chemistry"</f>
        <v>Essentials of Organic Chemistry</v>
      </c>
      <c r="G61" s="52">
        <v>6</v>
      </c>
      <c r="H61" s="92" t="s">
        <v>44</v>
      </c>
      <c r="I61" s="51" t="s">
        <v>95</v>
      </c>
      <c r="J61" s="51" t="str">
        <f>"Essentials of Organic Chemistry"</f>
        <v>Essentials of Organic Chemistry</v>
      </c>
      <c r="K61" s="52">
        <v>6</v>
      </c>
      <c r="L61" s="65" t="s">
        <v>44</v>
      </c>
    </row>
    <row r="62" spans="1:12">
      <c r="A62" s="51" t="s">
        <v>96</v>
      </c>
      <c r="B62" s="51" t="str">
        <f>"Pharmacochemistry"</f>
        <v>Pharmacochemistry</v>
      </c>
      <c r="C62" s="52">
        <v>6</v>
      </c>
      <c r="D62" s="65" t="s">
        <v>44</v>
      </c>
      <c r="E62" s="64" t="s">
        <v>97</v>
      </c>
      <c r="F62" s="51" t="str">
        <f>"Physical Organic Chemistry"</f>
        <v>Physical Organic Chemistry</v>
      </c>
      <c r="G62" s="52">
        <v>3</v>
      </c>
      <c r="H62" s="92" t="s">
        <v>44</v>
      </c>
      <c r="I62" s="51" t="s">
        <v>96</v>
      </c>
      <c r="J62" s="51" t="str">
        <f>"Pharmacochemistry"</f>
        <v>Pharmacochemistry</v>
      </c>
      <c r="K62" s="52">
        <v>6</v>
      </c>
      <c r="L62" s="65" t="s">
        <v>44</v>
      </c>
    </row>
    <row r="63" spans="1:12">
      <c r="A63" s="51" t="s">
        <v>98</v>
      </c>
      <c r="B63" s="51" t="str">
        <f>"Nanobiotechnology"</f>
        <v>Nanobiotechnology</v>
      </c>
      <c r="C63" s="52">
        <v>6</v>
      </c>
      <c r="D63" s="65" t="s">
        <v>44</v>
      </c>
      <c r="E63" s="64" t="s">
        <v>98</v>
      </c>
      <c r="F63" s="51" t="str">
        <f>"Nanobiotechnology"</f>
        <v>Nanobiotechnology</v>
      </c>
      <c r="G63" s="52">
        <v>6</v>
      </c>
      <c r="H63" s="92" t="s">
        <v>44</v>
      </c>
      <c r="I63" s="51" t="s">
        <v>131</v>
      </c>
      <c r="J63" s="51" t="str">
        <f>"Toxicology"</f>
        <v>Toxicology</v>
      </c>
      <c r="K63" s="52">
        <v>6</v>
      </c>
      <c r="L63" s="65" t="s">
        <v>44</v>
      </c>
    </row>
    <row r="64" spans="1:12">
      <c r="A64" s="237"/>
      <c r="B64" s="259" t="s">
        <v>441</v>
      </c>
      <c r="C64" s="92"/>
      <c r="D64" s="65"/>
      <c r="E64" s="236"/>
      <c r="F64" s="237"/>
      <c r="G64" s="92"/>
      <c r="H64" s="92"/>
      <c r="I64" s="64" t="s">
        <v>6</v>
      </c>
      <c r="J64" s="184" t="s">
        <v>46</v>
      </c>
      <c r="K64" s="52"/>
      <c r="L64" s="65"/>
    </row>
    <row r="65" spans="1:12">
      <c r="A65" s="202" t="s">
        <v>131</v>
      </c>
      <c r="B65" s="202" t="s">
        <v>442</v>
      </c>
      <c r="C65" s="203">
        <v>6</v>
      </c>
      <c r="D65" s="229"/>
      <c r="E65" s="236"/>
      <c r="F65" s="237"/>
      <c r="G65" s="92"/>
      <c r="H65" s="92"/>
      <c r="I65" s="66" t="s">
        <v>98</v>
      </c>
      <c r="J65" s="66" t="str">
        <f>"Nanobiotechnology"</f>
        <v>Nanobiotechnology</v>
      </c>
      <c r="K65" s="67">
        <v>6</v>
      </c>
      <c r="L65" s="68"/>
    </row>
    <row r="66" spans="1:12">
      <c r="A66" s="237"/>
      <c r="B66" s="237"/>
      <c r="C66" s="92"/>
      <c r="D66" s="65"/>
      <c r="E66" s="236"/>
      <c r="F66" s="237"/>
      <c r="G66" s="92"/>
      <c r="H66" s="92"/>
      <c r="I66" s="66" t="s">
        <v>222</v>
      </c>
      <c r="J66" s="66" t="str">
        <f>"Atoom- en Molecuulbouw"</f>
        <v>Atoom- en Molecuulbouw</v>
      </c>
      <c r="K66" s="67">
        <v>3</v>
      </c>
      <c r="L66" s="68"/>
    </row>
    <row r="67" spans="1:12">
      <c r="A67" s="64" t="s">
        <v>45</v>
      </c>
      <c r="B67" s="51"/>
      <c r="C67" s="52"/>
      <c r="D67" s="65"/>
      <c r="E67" s="64" t="s">
        <v>45</v>
      </c>
      <c r="F67" s="51"/>
      <c r="G67" s="52"/>
      <c r="H67" s="65"/>
      <c r="I67" s="61" t="s">
        <v>45</v>
      </c>
      <c r="J67" s="62"/>
      <c r="K67" s="63"/>
      <c r="L67" s="244"/>
    </row>
    <row r="68" spans="1:12" ht="23.25">
      <c r="A68" s="56" t="s">
        <v>99</v>
      </c>
      <c r="B68" s="54"/>
      <c r="C68" s="57"/>
      <c r="E68" s="296" t="s">
        <v>544</v>
      </c>
      <c r="F68" s="54"/>
      <c r="G68" s="57"/>
    </row>
    <row r="69" spans="1:12">
      <c r="A69" s="64" t="s">
        <v>485</v>
      </c>
      <c r="B69" s="51"/>
      <c r="C69" s="52"/>
      <c r="D69" s="65"/>
      <c r="E69" s="64" t="s">
        <v>55</v>
      </c>
      <c r="F69" s="51"/>
      <c r="G69" s="52"/>
      <c r="H69" s="65"/>
    </row>
    <row r="70" spans="1:12">
      <c r="A70" s="51" t="s">
        <v>103</v>
      </c>
      <c r="B70" s="51" t="s">
        <v>486</v>
      </c>
      <c r="C70" s="52">
        <v>6</v>
      </c>
      <c r="D70" s="65" t="s">
        <v>44</v>
      </c>
      <c r="E70" s="51" t="s">
        <v>100</v>
      </c>
      <c r="F70" s="51" t="str">
        <f>"Organisatietheorie"</f>
        <v>Organisatietheorie</v>
      </c>
      <c r="G70" s="52">
        <v>6</v>
      </c>
      <c r="H70" s="65" t="s">
        <v>44</v>
      </c>
    </row>
    <row r="71" spans="1:12">
      <c r="A71" s="51" t="s">
        <v>101</v>
      </c>
      <c r="B71" s="51" t="str">
        <f>"Systeemtheorie"</f>
        <v>Systeemtheorie</v>
      </c>
      <c r="C71" s="52">
        <v>6</v>
      </c>
      <c r="D71" s="65" t="s">
        <v>44</v>
      </c>
      <c r="E71" s="51" t="s">
        <v>101</v>
      </c>
      <c r="F71" s="51" t="str">
        <f>"Systeemtheorie"</f>
        <v>Systeemtheorie</v>
      </c>
      <c r="G71" s="52">
        <v>6</v>
      </c>
      <c r="H71" s="65" t="s">
        <v>44</v>
      </c>
    </row>
    <row r="72" spans="1:12">
      <c r="A72" s="59" t="s">
        <v>6</v>
      </c>
      <c r="B72" s="184" t="s">
        <v>84</v>
      </c>
      <c r="C72" s="52"/>
      <c r="D72" s="65"/>
      <c r="E72" s="59" t="s">
        <v>6</v>
      </c>
      <c r="F72" s="184" t="s">
        <v>84</v>
      </c>
      <c r="G72" s="52"/>
      <c r="H72" s="65"/>
    </row>
    <row r="73" spans="1:12">
      <c r="A73" s="66" t="s">
        <v>444</v>
      </c>
      <c r="B73" s="66" t="str">
        <f>"Knowledge Management"</f>
        <v>Knowledge Management</v>
      </c>
      <c r="C73" s="67">
        <v>6</v>
      </c>
      <c r="D73" s="68"/>
      <c r="E73" s="66" t="s">
        <v>102</v>
      </c>
      <c r="F73" s="66" t="str">
        <f>"Kennismanagement"</f>
        <v>Kennismanagement</v>
      </c>
      <c r="G73" s="67">
        <v>6</v>
      </c>
      <c r="H73" s="68"/>
    </row>
    <row r="74" spans="1:12">
      <c r="A74" s="66" t="s">
        <v>445</v>
      </c>
      <c r="B74" s="66" t="str">
        <f>"Organisatieontwerp"</f>
        <v>Organisatieontwerp</v>
      </c>
      <c r="C74" s="67">
        <v>6</v>
      </c>
      <c r="D74" s="68"/>
      <c r="E74" s="66" t="s">
        <v>103</v>
      </c>
      <c r="F74" s="66" t="str">
        <f>"Interventiemethodologie (BdK)"</f>
        <v>Interventiemethodologie (BdK)</v>
      </c>
      <c r="G74" s="67">
        <v>6</v>
      </c>
      <c r="H74" s="68"/>
    </row>
    <row r="75" spans="1:12">
      <c r="A75" s="64" t="s">
        <v>45</v>
      </c>
      <c r="B75" s="51"/>
      <c r="C75" s="52"/>
      <c r="D75" s="65"/>
      <c r="E75" s="64" t="s">
        <v>45</v>
      </c>
      <c r="F75" s="51"/>
      <c r="G75" s="52"/>
      <c r="H75" s="65"/>
    </row>
    <row r="76" spans="1:12" ht="24" thickBot="1">
      <c r="A76" s="90" t="s">
        <v>104</v>
      </c>
      <c r="B76" s="54"/>
      <c r="C76" s="57"/>
      <c r="E76" s="297" t="s">
        <v>545</v>
      </c>
      <c r="F76" s="54"/>
      <c r="G76" s="57"/>
    </row>
    <row r="77" spans="1:12">
      <c r="A77" s="59" t="s">
        <v>485</v>
      </c>
      <c r="B77" s="54"/>
      <c r="C77" s="57"/>
      <c r="E77" s="59" t="s">
        <v>395</v>
      </c>
      <c r="F77" s="54"/>
      <c r="G77" s="57"/>
      <c r="H77" s="112"/>
    </row>
    <row r="78" spans="1:12">
      <c r="A78" s="51" t="s">
        <v>30</v>
      </c>
      <c r="B78" s="51" t="str">
        <f>"Algoritmen en Datastructuren"</f>
        <v>Algoritmen en Datastructuren</v>
      </c>
      <c r="C78" s="52">
        <v>6</v>
      </c>
      <c r="D78" s="65" t="s">
        <v>44</v>
      </c>
      <c r="E78" s="51" t="s">
        <v>26</v>
      </c>
      <c r="F78" s="51" t="str">
        <f>"Imperatief Programmeren 1"</f>
        <v>Imperatief Programmeren 1</v>
      </c>
      <c r="G78" s="52">
        <v>3</v>
      </c>
      <c r="H78" s="65" t="s">
        <v>44</v>
      </c>
    </row>
    <row r="79" spans="1:12">
      <c r="A79" s="51" t="s">
        <v>28</v>
      </c>
      <c r="B79" s="51" t="str">
        <f>"Talen en Automaten"</f>
        <v>Talen en Automaten</v>
      </c>
      <c r="C79" s="52">
        <v>3</v>
      </c>
      <c r="D79" s="65" t="s">
        <v>44</v>
      </c>
      <c r="E79" s="51" t="s">
        <v>27</v>
      </c>
      <c r="F79" s="51" t="str">
        <f>"Imperatief Programmeren 2"</f>
        <v>Imperatief Programmeren 2</v>
      </c>
      <c r="G79" s="52">
        <v>3</v>
      </c>
      <c r="H79" s="65" t="s">
        <v>44</v>
      </c>
    </row>
    <row r="80" spans="1:12">
      <c r="A80" s="51" t="s">
        <v>105</v>
      </c>
      <c r="B80" s="51" t="str">
        <f>"Security"</f>
        <v>Security</v>
      </c>
      <c r="C80" s="52">
        <v>6</v>
      </c>
      <c r="D80" s="65" t="s">
        <v>44</v>
      </c>
      <c r="E80" s="51" t="s">
        <v>105</v>
      </c>
      <c r="F80" s="51" t="str">
        <f>"Security"</f>
        <v>Security</v>
      </c>
      <c r="G80" s="52">
        <v>6</v>
      </c>
      <c r="H80" s="65" t="s">
        <v>44</v>
      </c>
    </row>
    <row r="81" spans="1:12">
      <c r="A81" s="59" t="s">
        <v>6</v>
      </c>
      <c r="B81" s="184" t="s">
        <v>84</v>
      </c>
      <c r="C81" s="52"/>
      <c r="D81" s="65"/>
      <c r="E81" s="59" t="s">
        <v>6</v>
      </c>
      <c r="F81" s="184" t="s">
        <v>84</v>
      </c>
      <c r="G81" s="52"/>
      <c r="H81" s="65"/>
    </row>
    <row r="82" spans="1:12">
      <c r="A82" s="66" t="s">
        <v>446</v>
      </c>
      <c r="B82" s="66" t="str">
        <f>"Imperatief Programmeren"</f>
        <v>Imperatief Programmeren</v>
      </c>
      <c r="C82" s="67">
        <v>6</v>
      </c>
      <c r="D82" s="68"/>
      <c r="E82" s="66" t="s">
        <v>28</v>
      </c>
      <c r="F82" s="66" t="str">
        <f>"Talen en Automaten"</f>
        <v>Talen en Automaten</v>
      </c>
      <c r="G82" s="67">
        <v>3</v>
      </c>
      <c r="H82" s="68"/>
    </row>
    <row r="83" spans="1:12">
      <c r="A83" s="66" t="s">
        <v>29</v>
      </c>
      <c r="B83" s="66" t="str">
        <f>"Operating Systems"</f>
        <v>Operating Systems</v>
      </c>
      <c r="C83" s="67">
        <v>3</v>
      </c>
      <c r="D83" s="68"/>
      <c r="E83" s="66" t="s">
        <v>29</v>
      </c>
      <c r="F83" s="66" t="str">
        <f>"Operating Systems"</f>
        <v>Operating Systems</v>
      </c>
      <c r="G83" s="67">
        <v>3</v>
      </c>
      <c r="H83" s="68"/>
    </row>
    <row r="84" spans="1:12">
      <c r="A84" s="64" t="s">
        <v>45</v>
      </c>
      <c r="B84" s="51"/>
      <c r="C84" s="52"/>
      <c r="D84" s="65"/>
      <c r="E84" s="64" t="s">
        <v>45</v>
      </c>
      <c r="F84" s="51"/>
      <c r="G84" s="52"/>
      <c r="H84" s="65"/>
    </row>
    <row r="85" spans="1:12" ht="23.25">
      <c r="A85" s="56" t="s">
        <v>106</v>
      </c>
      <c r="B85" s="54"/>
      <c r="C85" s="57"/>
      <c r="E85" s="296" t="s">
        <v>546</v>
      </c>
      <c r="F85" s="54"/>
      <c r="G85" s="57"/>
    </row>
    <row r="86" spans="1:12">
      <c r="A86" s="64" t="s">
        <v>485</v>
      </c>
      <c r="B86" s="51"/>
      <c r="C86" s="52"/>
      <c r="D86" s="65"/>
      <c r="E86" s="64" t="s">
        <v>362</v>
      </c>
      <c r="F86" s="51"/>
      <c r="G86" s="52"/>
      <c r="H86" s="65"/>
      <c r="I86" s="257" t="s">
        <v>43</v>
      </c>
      <c r="K86" s="116"/>
      <c r="L86" s="69"/>
    </row>
    <row r="87" spans="1:12">
      <c r="A87" s="51" t="s">
        <v>446</v>
      </c>
      <c r="B87" s="51" t="str">
        <f>"Imperatief Programmeren"</f>
        <v>Imperatief Programmeren</v>
      </c>
      <c r="C87" s="52">
        <v>6</v>
      </c>
      <c r="D87" s="65" t="s">
        <v>44</v>
      </c>
      <c r="E87" s="51" t="s">
        <v>26</v>
      </c>
      <c r="F87" s="51" t="str">
        <f>"Imperatief Programmeren 1"</f>
        <v>Imperatief Programmeren 1</v>
      </c>
      <c r="G87" s="52">
        <v>3</v>
      </c>
      <c r="H87" s="65" t="s">
        <v>44</v>
      </c>
      <c r="I87" s="113" t="s">
        <v>26</v>
      </c>
      <c r="J87" s="51" t="str">
        <f>"Imperatief Programmeren 1"</f>
        <v>Imperatief Programmeren 1</v>
      </c>
      <c r="K87" s="52">
        <v>3</v>
      </c>
      <c r="L87" s="65" t="s">
        <v>44</v>
      </c>
    </row>
    <row r="88" spans="1:12">
      <c r="A88" s="97" t="s">
        <v>28</v>
      </c>
      <c r="B88" s="97" t="str">
        <f>"Talen en Automaten"</f>
        <v>Talen en Automaten</v>
      </c>
      <c r="C88" s="219">
        <v>3</v>
      </c>
      <c r="D88" s="65" t="s">
        <v>44</v>
      </c>
      <c r="E88" s="51" t="s">
        <v>27</v>
      </c>
      <c r="F88" s="51" t="str">
        <f>"Imperatief Programmeren 2"</f>
        <v>Imperatief Programmeren 2</v>
      </c>
      <c r="G88" s="52">
        <v>3</v>
      </c>
      <c r="H88" s="65" t="s">
        <v>44</v>
      </c>
      <c r="I88" s="113" t="s">
        <v>27</v>
      </c>
      <c r="J88" s="51" t="str">
        <f>"Imperatief Programmeren 2"</f>
        <v>Imperatief Programmeren 2</v>
      </c>
      <c r="K88" s="52">
        <v>3</v>
      </c>
      <c r="L88" s="65" t="s">
        <v>44</v>
      </c>
    </row>
    <row r="89" spans="1:12">
      <c r="A89" s="59"/>
      <c r="B89" s="227" t="s">
        <v>84</v>
      </c>
      <c r="C89" s="63"/>
      <c r="D89" s="258"/>
      <c r="E89" s="97" t="s">
        <v>28</v>
      </c>
      <c r="F89" s="97" t="str">
        <f>"Talen en Automaten"</f>
        <v>Talen en Automaten</v>
      </c>
      <c r="G89" s="219">
        <v>3</v>
      </c>
      <c r="H89" s="65" t="s">
        <v>44</v>
      </c>
      <c r="I89" s="113" t="s">
        <v>28</v>
      </c>
      <c r="J89" s="51" t="str">
        <f>"Talen en Automaten"</f>
        <v>Talen en Automaten</v>
      </c>
      <c r="K89" s="52">
        <v>3</v>
      </c>
      <c r="L89" s="65" t="s">
        <v>44</v>
      </c>
    </row>
    <row r="90" spans="1:12">
      <c r="A90" s="66" t="s">
        <v>363</v>
      </c>
      <c r="B90" s="66" t="s">
        <v>364</v>
      </c>
      <c r="C90" s="67">
        <v>6</v>
      </c>
      <c r="D90" s="68"/>
      <c r="E90" s="59"/>
      <c r="F90" s="227" t="s">
        <v>84</v>
      </c>
      <c r="G90" s="63"/>
      <c r="H90" s="258"/>
      <c r="I90" s="113" t="s">
        <v>236</v>
      </c>
      <c r="J90" s="51" t="str">
        <f>"Semantiek en Correctheid"</f>
        <v>Semantiek en Correctheid</v>
      </c>
      <c r="K90" s="52">
        <v>3</v>
      </c>
      <c r="L90" s="65" t="s">
        <v>44</v>
      </c>
    </row>
    <row r="91" spans="1:12">
      <c r="A91" s="66" t="s">
        <v>30</v>
      </c>
      <c r="B91" s="66" t="s">
        <v>365</v>
      </c>
      <c r="C91" s="67">
        <v>6</v>
      </c>
      <c r="D91" s="68"/>
      <c r="E91" s="66" t="s">
        <v>363</v>
      </c>
      <c r="F91" s="66" t="s">
        <v>364</v>
      </c>
      <c r="G91" s="67">
        <v>6</v>
      </c>
      <c r="H91" s="68"/>
      <c r="I91" s="113" t="s">
        <v>237</v>
      </c>
      <c r="J91" s="51" t="str">
        <f>"Logica 2"</f>
        <v>Logica 2</v>
      </c>
      <c r="K91" s="52">
        <v>3</v>
      </c>
      <c r="L91" s="65" t="s">
        <v>44</v>
      </c>
    </row>
    <row r="92" spans="1:12">
      <c r="A92" s="228"/>
      <c r="B92" s="259" t="s">
        <v>396</v>
      </c>
      <c r="C92" s="228"/>
      <c r="D92" s="258"/>
      <c r="E92" s="66" t="s">
        <v>30</v>
      </c>
      <c r="F92" s="66" t="s">
        <v>365</v>
      </c>
      <c r="G92" s="67">
        <v>6</v>
      </c>
      <c r="H92" s="68"/>
      <c r="I92" s="113" t="s">
        <v>107</v>
      </c>
      <c r="J92" s="51" t="str">
        <f>"Functioneel Programmeren 1"</f>
        <v>Functioneel Programmeren 1</v>
      </c>
      <c r="K92" s="52">
        <v>3</v>
      </c>
      <c r="L92" s="65" t="s">
        <v>44</v>
      </c>
    </row>
    <row r="93" spans="1:12">
      <c r="A93" s="202" t="s">
        <v>108</v>
      </c>
      <c r="B93" s="202" t="s">
        <v>366</v>
      </c>
      <c r="C93" s="203">
        <v>6</v>
      </c>
      <c r="D93" s="229"/>
      <c r="E93" s="228"/>
      <c r="F93" s="259" t="s">
        <v>396</v>
      </c>
      <c r="G93" s="228"/>
      <c r="H93" s="258"/>
      <c r="I93" s="113" t="s">
        <v>238</v>
      </c>
      <c r="J93" s="51" t="str">
        <f>"Functioneel programmeren 2"</f>
        <v>Functioneel programmeren 2</v>
      </c>
      <c r="K93" s="52">
        <v>3</v>
      </c>
      <c r="L93" s="65" t="s">
        <v>44</v>
      </c>
    </row>
    <row r="94" spans="1:12">
      <c r="A94" s="230" t="s">
        <v>107</v>
      </c>
      <c r="B94" s="230" t="s">
        <v>367</v>
      </c>
      <c r="C94" s="231">
        <v>3</v>
      </c>
      <c r="D94" s="232"/>
      <c r="E94" s="202" t="s">
        <v>108</v>
      </c>
      <c r="F94" s="202" t="s">
        <v>366</v>
      </c>
      <c r="G94" s="203">
        <v>6</v>
      </c>
      <c r="H94" s="229"/>
      <c r="I94" s="113" t="s">
        <v>239</v>
      </c>
      <c r="J94" s="51" t="str">
        <f>"Berekenbaarheid"</f>
        <v>Berekenbaarheid</v>
      </c>
      <c r="K94" s="52">
        <v>3</v>
      </c>
      <c r="L94" s="65" t="s">
        <v>44</v>
      </c>
    </row>
    <row r="95" spans="1:12">
      <c r="A95" s="230" t="s">
        <v>238</v>
      </c>
      <c r="B95" s="230" t="s">
        <v>368</v>
      </c>
      <c r="C95" s="231">
        <v>3</v>
      </c>
      <c r="D95" s="232"/>
      <c r="E95" s="230" t="s">
        <v>107</v>
      </c>
      <c r="F95" s="230" t="s">
        <v>367</v>
      </c>
      <c r="G95" s="231">
        <v>3</v>
      </c>
      <c r="H95" s="232"/>
      <c r="I95" s="113" t="s">
        <v>240</v>
      </c>
      <c r="J95" s="51" t="str">
        <f>"Complexiteit"</f>
        <v>Complexiteit</v>
      </c>
      <c r="K95" s="52">
        <v>3</v>
      </c>
      <c r="L95" s="65" t="s">
        <v>44</v>
      </c>
    </row>
    <row r="96" spans="1:12">
      <c r="A96" s="94" t="s">
        <v>236</v>
      </c>
      <c r="B96" s="94" t="s">
        <v>369</v>
      </c>
      <c r="C96" s="95">
        <v>3</v>
      </c>
      <c r="D96" s="96"/>
      <c r="E96" s="230" t="s">
        <v>238</v>
      </c>
      <c r="F96" s="230" t="s">
        <v>368</v>
      </c>
      <c r="G96" s="231">
        <v>3</v>
      </c>
      <c r="H96" s="232"/>
      <c r="I96" s="260"/>
      <c r="J96" s="261" t="s">
        <v>447</v>
      </c>
      <c r="K96" s="262"/>
      <c r="L96" s="263"/>
    </row>
    <row r="97" spans="1:12">
      <c r="A97" s="94" t="s">
        <v>240</v>
      </c>
      <c r="B97" s="94" t="s">
        <v>370</v>
      </c>
      <c r="C97" s="95">
        <v>3</v>
      </c>
      <c r="D97" s="96"/>
      <c r="E97" s="94" t="s">
        <v>236</v>
      </c>
      <c r="F97" s="94" t="s">
        <v>369</v>
      </c>
      <c r="G97" s="95">
        <v>3</v>
      </c>
      <c r="H97" s="96"/>
      <c r="I97" s="61" t="s">
        <v>45</v>
      </c>
      <c r="J97" s="54"/>
      <c r="K97" s="57"/>
      <c r="L97" s="69"/>
    </row>
    <row r="98" spans="1:12">
      <c r="A98" s="233" t="s">
        <v>371</v>
      </c>
      <c r="B98" s="233" t="s">
        <v>372</v>
      </c>
      <c r="C98" s="234">
        <v>3</v>
      </c>
      <c r="D98" s="235"/>
      <c r="E98" s="94" t="s">
        <v>240</v>
      </c>
      <c r="F98" s="94" t="s">
        <v>370</v>
      </c>
      <c r="G98" s="95">
        <v>3</v>
      </c>
      <c r="H98" s="96"/>
      <c r="I98" s="103"/>
      <c r="J98" s="54"/>
      <c r="K98" s="57"/>
      <c r="L98" s="69"/>
    </row>
    <row r="99" spans="1:12">
      <c r="A99" s="233" t="s">
        <v>373</v>
      </c>
      <c r="B99" s="233" t="s">
        <v>374</v>
      </c>
      <c r="C99" s="234">
        <v>3</v>
      </c>
      <c r="D99" s="235"/>
      <c r="E99" s="233" t="s">
        <v>371</v>
      </c>
      <c r="F99" s="233" t="s">
        <v>372</v>
      </c>
      <c r="G99" s="234">
        <v>3</v>
      </c>
      <c r="H99" s="235"/>
      <c r="I99" s="103"/>
      <c r="J99" s="54"/>
      <c r="K99" s="57"/>
      <c r="L99" s="69"/>
    </row>
    <row r="100" spans="1:12">
      <c r="A100" s="64" t="s">
        <v>45</v>
      </c>
      <c r="B100" s="51"/>
      <c r="C100" s="52"/>
      <c r="D100" s="65"/>
      <c r="E100" s="233" t="s">
        <v>373</v>
      </c>
      <c r="F100" s="233" t="s">
        <v>374</v>
      </c>
      <c r="G100" s="234">
        <v>3</v>
      </c>
      <c r="H100" s="235"/>
      <c r="I100" s="103"/>
      <c r="J100" s="54"/>
      <c r="K100" s="57"/>
      <c r="L100" s="69"/>
    </row>
    <row r="101" spans="1:12">
      <c r="E101" s="64" t="s">
        <v>45</v>
      </c>
      <c r="F101" s="51"/>
      <c r="G101" s="52"/>
      <c r="H101" s="65"/>
      <c r="I101" s="103"/>
      <c r="J101" s="54"/>
      <c r="K101" s="57"/>
      <c r="L101" s="69"/>
    </row>
    <row r="102" spans="1:12" ht="23.25">
      <c r="A102" s="90" t="s">
        <v>109</v>
      </c>
      <c r="B102" s="54"/>
      <c r="C102" s="57"/>
      <c r="E102" s="296" t="s">
        <v>547</v>
      </c>
      <c r="F102" s="54"/>
      <c r="G102" s="57"/>
    </row>
    <row r="103" spans="1:12">
      <c r="A103" s="64" t="s">
        <v>440</v>
      </c>
      <c r="B103" s="51"/>
      <c r="C103" s="52"/>
      <c r="D103" s="65"/>
      <c r="E103" s="103"/>
      <c r="F103" s="54"/>
      <c r="G103" s="57"/>
    </row>
    <row r="104" spans="1:12">
      <c r="A104" s="59" t="s">
        <v>6</v>
      </c>
      <c r="B104" s="64" t="s">
        <v>110</v>
      </c>
      <c r="C104" s="52"/>
      <c r="D104" s="65"/>
      <c r="E104" s="103"/>
      <c r="F104" s="54"/>
      <c r="G104" s="57"/>
    </row>
    <row r="105" spans="1:12">
      <c r="A105" s="94" t="s">
        <v>111</v>
      </c>
      <c r="B105" s="94" t="str">
        <f>"Accounting"</f>
        <v>Accounting</v>
      </c>
      <c r="C105" s="95">
        <v>6</v>
      </c>
      <c r="D105" s="96"/>
      <c r="E105" s="103"/>
      <c r="F105" s="54"/>
      <c r="G105" s="57"/>
    </row>
    <row r="106" spans="1:12">
      <c r="A106" s="94" t="s">
        <v>112</v>
      </c>
      <c r="B106" s="94" t="str">
        <f>"Behavioural Finance"</f>
        <v>Behavioural Finance</v>
      </c>
      <c r="C106" s="95">
        <v>6</v>
      </c>
      <c r="D106" s="96"/>
      <c r="E106" s="103"/>
      <c r="F106" s="54"/>
      <c r="G106" s="57"/>
    </row>
    <row r="107" spans="1:12">
      <c r="A107" s="94" t="s">
        <v>113</v>
      </c>
      <c r="B107" s="94" t="str">
        <f>"Corporate Finance"</f>
        <v>Corporate Finance</v>
      </c>
      <c r="C107" s="95">
        <v>6</v>
      </c>
      <c r="D107" s="96"/>
      <c r="E107" s="103"/>
      <c r="F107" s="54"/>
      <c r="G107" s="57"/>
    </row>
    <row r="108" spans="1:12">
      <c r="A108" s="94" t="s">
        <v>114</v>
      </c>
      <c r="B108" s="94" t="str">
        <f>"Financial Accounting and Reporting"</f>
        <v>Financial Accounting and Reporting</v>
      </c>
      <c r="C108" s="95">
        <v>6</v>
      </c>
      <c r="D108" s="96"/>
      <c r="E108" s="103"/>
      <c r="F108" s="54"/>
      <c r="G108" s="57"/>
    </row>
    <row r="109" spans="1:12">
      <c r="A109" s="94" t="s">
        <v>115</v>
      </c>
      <c r="B109" s="94" t="str">
        <f>"Geschiedenis van het economisch denken"</f>
        <v>Geschiedenis van het economisch denken</v>
      </c>
      <c r="C109" s="95">
        <v>6</v>
      </c>
      <c r="D109" s="96"/>
      <c r="E109" s="103"/>
      <c r="F109" s="54"/>
      <c r="G109" s="57"/>
    </row>
    <row r="110" spans="1:12">
      <c r="A110" s="94" t="s">
        <v>116</v>
      </c>
      <c r="B110" s="94" t="str">
        <f>"International Financial Policy"</f>
        <v>International Financial Policy</v>
      </c>
      <c r="C110" s="95">
        <v>6</v>
      </c>
      <c r="D110" s="96"/>
      <c r="E110" s="103"/>
      <c r="F110" s="54"/>
      <c r="G110" s="57"/>
    </row>
    <row r="111" spans="1:12">
      <c r="A111" s="94" t="s">
        <v>117</v>
      </c>
      <c r="B111" s="94" t="str">
        <f>"Investment Management"</f>
        <v>Investment Management</v>
      </c>
      <c r="C111" s="95">
        <v>6</v>
      </c>
      <c r="D111" s="96"/>
      <c r="E111" s="103"/>
      <c r="F111" s="54"/>
      <c r="G111" s="57"/>
    </row>
    <row r="112" spans="1:12">
      <c r="A112" s="94" t="s">
        <v>118</v>
      </c>
      <c r="B112" s="94" t="str">
        <f>"Kwalitatieve onderzoeksmethodologie"</f>
        <v>Kwalitatieve onderzoeksmethodologie</v>
      </c>
      <c r="C112" s="95">
        <v>6</v>
      </c>
      <c r="D112" s="96"/>
      <c r="E112" s="103"/>
      <c r="F112" s="54"/>
      <c r="G112" s="57"/>
    </row>
    <row r="113" spans="1:7">
      <c r="A113" s="94" t="s">
        <v>119</v>
      </c>
      <c r="B113" s="94" t="str">
        <f>"Macro-economie"</f>
        <v>Macro-economie</v>
      </c>
      <c r="C113" s="95">
        <v>6</v>
      </c>
      <c r="D113" s="96"/>
      <c r="E113" s="103"/>
      <c r="F113" s="54"/>
      <c r="G113" s="57"/>
    </row>
    <row r="114" spans="1:7">
      <c r="A114" s="94" t="s">
        <v>120</v>
      </c>
      <c r="B114" s="94" t="str">
        <f>"Management Accounting and Control"</f>
        <v>Management Accounting and Control</v>
      </c>
      <c r="C114" s="95">
        <v>6</v>
      </c>
      <c r="D114" s="96"/>
      <c r="E114" s="103"/>
      <c r="F114" s="54"/>
      <c r="G114" s="57"/>
    </row>
    <row r="115" spans="1:7">
      <c r="A115" s="94" t="s">
        <v>121</v>
      </c>
      <c r="B115" s="94" t="str">
        <f>"Methods of Economic Research"</f>
        <v>Methods of Economic Research</v>
      </c>
      <c r="C115" s="95">
        <v>6</v>
      </c>
      <c r="D115" s="96"/>
      <c r="E115" s="103"/>
      <c r="F115" s="54"/>
      <c r="G115" s="57"/>
    </row>
    <row r="116" spans="1:7">
      <c r="A116" s="94" t="s">
        <v>122</v>
      </c>
      <c r="B116" s="94" t="str">
        <f>"Multinational Finance"</f>
        <v>Multinational Finance</v>
      </c>
      <c r="C116" s="95">
        <v>6</v>
      </c>
      <c r="D116" s="96"/>
      <c r="E116" s="103"/>
      <c r="F116" s="54"/>
      <c r="G116" s="57"/>
    </row>
    <row r="117" spans="1:7">
      <c r="A117" s="94" t="s">
        <v>123</v>
      </c>
      <c r="B117" s="94" t="str">
        <f>"Project: Financial Instruments"</f>
        <v>Project: Financial Instruments</v>
      </c>
      <c r="C117" s="95">
        <v>6</v>
      </c>
      <c r="D117" s="96"/>
      <c r="E117" s="103"/>
      <c r="F117" s="54"/>
      <c r="G117" s="57"/>
    </row>
    <row r="118" spans="1:7">
      <c r="A118" s="94" t="s">
        <v>124</v>
      </c>
      <c r="B118" s="94" t="str">
        <f>"Topics in Business Economics"</f>
        <v>Topics in Business Economics</v>
      </c>
      <c r="C118" s="95">
        <v>6</v>
      </c>
      <c r="D118" s="96"/>
      <c r="E118" s="103"/>
      <c r="F118" s="54"/>
      <c r="G118" s="57"/>
    </row>
    <row r="119" spans="1:7">
      <c r="A119" s="94" t="s">
        <v>125</v>
      </c>
      <c r="B119" s="94" t="str">
        <f>"Topics in Financial Economics"</f>
        <v>Topics in Financial Economics</v>
      </c>
      <c r="C119" s="95">
        <v>6</v>
      </c>
      <c r="D119" s="96"/>
      <c r="E119" s="103"/>
      <c r="F119" s="54"/>
      <c r="G119" s="57"/>
    </row>
    <row r="120" spans="1:7">
      <c r="A120" s="94" t="s">
        <v>126</v>
      </c>
      <c r="B120" s="94" t="str">
        <f>"Voortgezet boekhouden"</f>
        <v>Voortgezet boekhouden</v>
      </c>
      <c r="C120" s="95">
        <v>6</v>
      </c>
      <c r="D120" s="96"/>
      <c r="E120" s="103"/>
      <c r="F120" s="54"/>
      <c r="G120" s="57"/>
    </row>
    <row r="121" spans="1:7">
      <c r="A121" s="64" t="s">
        <v>45</v>
      </c>
      <c r="B121" s="51"/>
      <c r="C121" s="52"/>
      <c r="D121" s="65"/>
      <c r="E121" s="103"/>
      <c r="F121" s="54"/>
      <c r="G121" s="57"/>
    </row>
    <row r="122" spans="1:7" ht="23.25">
      <c r="A122" s="90" t="s">
        <v>127</v>
      </c>
      <c r="B122" s="54"/>
      <c r="C122" s="57"/>
      <c r="E122" s="103"/>
      <c r="F122" s="54"/>
      <c r="G122" s="57"/>
    </row>
    <row r="123" spans="1:7">
      <c r="A123" s="59" t="s">
        <v>482</v>
      </c>
      <c r="B123" s="54"/>
      <c r="C123" s="57"/>
      <c r="E123" s="103"/>
      <c r="F123" s="54"/>
      <c r="G123" s="57"/>
    </row>
    <row r="124" spans="1:7">
      <c r="A124" s="64" t="s">
        <v>188</v>
      </c>
      <c r="B124" s="64" t="s">
        <v>128</v>
      </c>
      <c r="C124" s="52">
        <v>30</v>
      </c>
      <c r="D124" s="65" t="s">
        <v>44</v>
      </c>
      <c r="E124" s="103"/>
      <c r="F124" s="54"/>
      <c r="G124" s="57"/>
    </row>
    <row r="125" spans="1:7">
      <c r="A125" s="64"/>
      <c r="B125" s="64"/>
      <c r="C125" s="52"/>
      <c r="D125" s="65"/>
      <c r="E125" s="103"/>
      <c r="F125" s="54"/>
      <c r="G125" s="57"/>
    </row>
    <row r="126" spans="1:7">
      <c r="A126" s="64"/>
      <c r="B126" s="264" t="s">
        <v>397</v>
      </c>
      <c r="C126" s="52"/>
      <c r="D126" s="65"/>
      <c r="E126" s="103"/>
      <c r="F126" s="54"/>
      <c r="G126" s="57"/>
    </row>
    <row r="127" spans="1:7">
      <c r="A127" s="64" t="s">
        <v>45</v>
      </c>
      <c r="B127" s="51"/>
      <c r="C127" s="52"/>
      <c r="D127" s="65"/>
      <c r="E127" s="103"/>
      <c r="F127" s="54"/>
      <c r="G127" s="57"/>
    </row>
    <row r="128" spans="1:7" ht="23.25">
      <c r="A128" s="90" t="s">
        <v>34</v>
      </c>
      <c r="B128" s="54"/>
      <c r="C128" s="57"/>
      <c r="E128" s="296" t="s">
        <v>548</v>
      </c>
      <c r="F128" s="54"/>
      <c r="G128" s="57"/>
    </row>
    <row r="129" spans="1:16">
      <c r="A129" s="59" t="s">
        <v>487</v>
      </c>
      <c r="B129" s="54"/>
      <c r="C129" s="57"/>
      <c r="E129" s="103"/>
      <c r="F129" s="54"/>
      <c r="G129" s="57"/>
    </row>
    <row r="130" spans="1:16">
      <c r="A130" s="51" t="s">
        <v>91</v>
      </c>
      <c r="B130" s="51" t="str">
        <f>"Geographic Information Systems"</f>
        <v>Geographic Information Systems</v>
      </c>
      <c r="C130" s="52">
        <v>6</v>
      </c>
      <c r="D130" s="65" t="s">
        <v>44</v>
      </c>
      <c r="E130" s="103"/>
      <c r="F130" s="54"/>
      <c r="G130" s="57"/>
    </row>
    <row r="131" spans="1:16">
      <c r="A131" s="51" t="s">
        <v>129</v>
      </c>
      <c r="B131" s="51" t="str">
        <f>"Chemie&amp;Fys.v.d.Atmosfeer"</f>
        <v>Chemie&amp;Fys.v.d.Atmosfeer</v>
      </c>
      <c r="C131" s="52">
        <v>3</v>
      </c>
      <c r="D131" s="65" t="s">
        <v>44</v>
      </c>
      <c r="E131" s="103"/>
      <c r="F131" s="54"/>
      <c r="G131" s="57"/>
    </row>
    <row r="132" spans="1:16">
      <c r="A132" s="51" t="s">
        <v>130</v>
      </c>
      <c r="B132" s="51" t="str">
        <f>"Green Chemistry"</f>
        <v>Green Chemistry</v>
      </c>
      <c r="C132" s="52">
        <v>3</v>
      </c>
      <c r="D132" s="65" t="s">
        <v>44</v>
      </c>
      <c r="E132" s="103"/>
      <c r="F132" s="54"/>
      <c r="G132" s="57"/>
    </row>
    <row r="133" spans="1:16">
      <c r="A133" s="51" t="s">
        <v>131</v>
      </c>
      <c r="B133" s="51" t="str">
        <f>"Toxicology"</f>
        <v>Toxicology</v>
      </c>
      <c r="C133" s="52">
        <v>6</v>
      </c>
      <c r="D133" s="65" t="s">
        <v>44</v>
      </c>
      <c r="E133" s="103"/>
      <c r="F133" s="54"/>
      <c r="G133" s="57"/>
    </row>
    <row r="134" spans="1:16">
      <c r="A134" s="51" t="s">
        <v>223</v>
      </c>
      <c r="B134" s="51" t="s">
        <v>375</v>
      </c>
      <c r="C134" s="52">
        <v>6</v>
      </c>
      <c r="D134" s="65" t="s">
        <v>44</v>
      </c>
      <c r="E134" s="103"/>
      <c r="F134" s="54"/>
      <c r="G134" s="57"/>
    </row>
    <row r="135" spans="1:16">
      <c r="A135" s="51" t="s">
        <v>132</v>
      </c>
      <c r="B135" s="51" t="str">
        <f>"Chemometrics"</f>
        <v>Chemometrics</v>
      </c>
      <c r="C135" s="52">
        <v>6</v>
      </c>
      <c r="D135" s="65" t="s">
        <v>44</v>
      </c>
      <c r="E135" s="103"/>
      <c r="F135" s="54"/>
      <c r="G135" s="57"/>
    </row>
    <row r="136" spans="1:16">
      <c r="A136" s="64" t="s">
        <v>45</v>
      </c>
      <c r="B136" s="51"/>
      <c r="C136" s="52"/>
      <c r="D136" s="65"/>
      <c r="E136" s="103"/>
      <c r="F136" s="54"/>
      <c r="G136" s="57"/>
    </row>
    <row r="137" spans="1:16" ht="23.25">
      <c r="A137" s="90" t="s">
        <v>25</v>
      </c>
      <c r="B137" s="54"/>
      <c r="C137" s="57"/>
      <c r="E137" s="296" t="s">
        <v>549</v>
      </c>
      <c r="F137" s="54"/>
      <c r="G137" s="57"/>
    </row>
    <row r="138" spans="1:16">
      <c r="A138" s="59" t="s">
        <v>66</v>
      </c>
      <c r="B138" s="54"/>
      <c r="C138" s="57"/>
      <c r="E138" s="103">
        <v>2015</v>
      </c>
      <c r="F138" s="54"/>
      <c r="G138" s="57"/>
      <c r="I138" s="59" t="s">
        <v>43</v>
      </c>
      <c r="J138" s="54"/>
      <c r="K138" s="57"/>
      <c r="L138" s="112"/>
      <c r="M138" s="59" t="s">
        <v>443</v>
      </c>
      <c r="N138" s="54"/>
      <c r="O138" s="57"/>
      <c r="P138" s="112"/>
    </row>
    <row r="139" spans="1:16">
      <c r="A139" s="51" t="s">
        <v>133</v>
      </c>
      <c r="B139" s="51" t="str">
        <f>"Biodiversity and Ecosystems"</f>
        <v>Biodiversity and Ecosystems</v>
      </c>
      <c r="C139" s="52">
        <v>3</v>
      </c>
      <c r="D139" s="101" t="s">
        <v>44</v>
      </c>
      <c r="E139" s="265" t="s">
        <v>134</v>
      </c>
      <c r="F139" s="51" t="str">
        <f>"Beleid, Ondernemerschap en Innovatie"</f>
        <v>Beleid, Ondernemerschap en Innovatie</v>
      </c>
      <c r="G139" s="52">
        <v>3</v>
      </c>
      <c r="H139" s="92" t="s">
        <v>44</v>
      </c>
      <c r="I139" s="51" t="s">
        <v>141</v>
      </c>
      <c r="J139" s="51" t="s">
        <v>219</v>
      </c>
      <c r="K139" s="52">
        <v>6</v>
      </c>
      <c r="L139" s="65" t="s">
        <v>44</v>
      </c>
      <c r="M139" s="328" t="s">
        <v>448</v>
      </c>
      <c r="N139" s="329"/>
      <c r="O139" s="330"/>
      <c r="P139" s="282"/>
    </row>
    <row r="140" spans="1:16">
      <c r="A140" s="51" t="s">
        <v>135</v>
      </c>
      <c r="B140" s="51" t="str">
        <f>"Energy and Sustainability"</f>
        <v>Energy and Sustainability</v>
      </c>
      <c r="C140" s="52">
        <v>3</v>
      </c>
      <c r="D140" s="101" t="s">
        <v>44</v>
      </c>
      <c r="E140" s="64"/>
      <c r="F140" s="71" t="s">
        <v>136</v>
      </c>
      <c r="G140" s="52"/>
      <c r="H140" s="92"/>
      <c r="I140" s="51" t="s">
        <v>134</v>
      </c>
      <c r="J140" s="51" t="str">
        <f>"Beleid, ondernemerschap en innovatie"</f>
        <v>Beleid, ondernemerschap en innovatie</v>
      </c>
      <c r="K140" s="52">
        <v>3</v>
      </c>
      <c r="L140" s="65" t="s">
        <v>44</v>
      </c>
      <c r="M140" s="328"/>
      <c r="N140" s="329"/>
      <c r="O140" s="330"/>
      <c r="P140" s="263"/>
    </row>
    <row r="141" spans="1:16">
      <c r="A141" s="51" t="s">
        <v>137</v>
      </c>
      <c r="B141" s="51" t="str">
        <f>"Climate Change: Science &amp; Policy"</f>
        <v>Climate Change: Science &amp; Policy</v>
      </c>
      <c r="C141" s="52">
        <v>3</v>
      </c>
      <c r="D141" s="101" t="s">
        <v>44</v>
      </c>
      <c r="E141" s="266" t="s">
        <v>133</v>
      </c>
      <c r="F141" s="98" t="str">
        <f>"Biodiversity and Ecosystems"</f>
        <v>Biodiversity and Ecosystems</v>
      </c>
      <c r="G141" s="99">
        <v>3</v>
      </c>
      <c r="H141" s="100"/>
      <c r="I141" s="64" t="s">
        <v>6</v>
      </c>
      <c r="J141" s="184" t="s">
        <v>136</v>
      </c>
      <c r="K141" s="52"/>
      <c r="L141" s="65"/>
      <c r="M141" s="61" t="s">
        <v>45</v>
      </c>
      <c r="N141" s="62"/>
      <c r="O141" s="63"/>
      <c r="P141" s="244"/>
    </row>
    <row r="142" spans="1:16">
      <c r="A142" s="51" t="s">
        <v>138</v>
      </c>
      <c r="B142" s="51" t="str">
        <f>"Water, Health and Development"</f>
        <v>Water, Health and Development</v>
      </c>
      <c r="C142" s="52">
        <v>3</v>
      </c>
      <c r="D142" s="101" t="s">
        <v>44</v>
      </c>
      <c r="E142" s="266" t="s">
        <v>139</v>
      </c>
      <c r="F142" s="98" t="str">
        <f>"Personalised Health(care)"</f>
        <v>Personalised Health(care)</v>
      </c>
      <c r="G142" s="99">
        <v>3</v>
      </c>
      <c r="H142" s="100"/>
      <c r="I142" s="98" t="s">
        <v>220</v>
      </c>
      <c r="J142" s="98" t="str">
        <f>"The value of water"</f>
        <v>The value of water</v>
      </c>
      <c r="K142" s="99">
        <v>3</v>
      </c>
      <c r="L142" s="100"/>
      <c r="M142" s="25"/>
      <c r="N142" s="25"/>
      <c r="O142" s="25"/>
      <c r="P142" s="25"/>
    </row>
    <row r="143" spans="1:16">
      <c r="A143" s="64" t="s">
        <v>6</v>
      </c>
      <c r="B143" s="184" t="s">
        <v>46</v>
      </c>
      <c r="C143" s="52"/>
      <c r="D143" s="101"/>
      <c r="E143" s="266" t="s">
        <v>135</v>
      </c>
      <c r="F143" s="98" t="s">
        <v>140</v>
      </c>
      <c r="G143" s="99">
        <v>3</v>
      </c>
      <c r="H143" s="100"/>
      <c r="I143" s="98" t="s">
        <v>133</v>
      </c>
      <c r="J143" s="98" t="str">
        <f>"Biodiversity and Ecosystems"</f>
        <v>Biodiversity and Ecosystems</v>
      </c>
      <c r="K143" s="99">
        <v>3</v>
      </c>
      <c r="L143" s="100"/>
      <c r="M143" s="25"/>
      <c r="N143" s="25"/>
      <c r="O143" s="25"/>
      <c r="P143" s="25"/>
    </row>
    <row r="144" spans="1:16">
      <c r="A144" s="66" t="s">
        <v>141</v>
      </c>
      <c r="B144" s="66" t="str">
        <f>"Duurzaam Ondernemen"</f>
        <v>Duurzaam Ondernemen</v>
      </c>
      <c r="C144" s="67">
        <v>6</v>
      </c>
      <c r="D144" s="102"/>
      <c r="E144" s="266" t="s">
        <v>137</v>
      </c>
      <c r="F144" s="98" t="str">
        <f>"Climate Change: Science &amp; Policy"</f>
        <v>Climate Change: Science &amp; Policy</v>
      </c>
      <c r="G144" s="99">
        <v>3</v>
      </c>
      <c r="H144" s="100"/>
      <c r="I144" s="98" t="s">
        <v>137</v>
      </c>
      <c r="J144" s="98" t="str">
        <f>"Climate Change: Science &amp; Policy"</f>
        <v>Climate Change: Science &amp; Policy</v>
      </c>
      <c r="K144" s="99">
        <v>3</v>
      </c>
      <c r="L144" s="100"/>
      <c r="M144" s="25"/>
      <c r="N144" s="25"/>
      <c r="O144" s="25"/>
      <c r="P144" s="25"/>
    </row>
    <row r="145" spans="1:16">
      <c r="A145" s="66" t="s">
        <v>142</v>
      </c>
      <c r="B145" s="66" t="str">
        <f>"Globalising Worlds"</f>
        <v>Globalising Worlds</v>
      </c>
      <c r="C145" s="67">
        <v>6</v>
      </c>
      <c r="D145" s="102"/>
      <c r="E145" s="266" t="s">
        <v>138</v>
      </c>
      <c r="F145" s="98" t="str">
        <f>"Water, Health and Development"</f>
        <v>Water, Health and Development</v>
      </c>
      <c r="G145" s="99">
        <v>3</v>
      </c>
      <c r="H145" s="100"/>
      <c r="I145" s="98" t="s">
        <v>135</v>
      </c>
      <c r="J145" s="98" t="str">
        <f>"Energy and Materials"</f>
        <v>Energy and Materials</v>
      </c>
      <c r="K145" s="99">
        <v>3</v>
      </c>
      <c r="L145" s="100"/>
      <c r="M145" s="25"/>
      <c r="N145" s="25"/>
      <c r="O145" s="25"/>
      <c r="P145" s="25"/>
    </row>
    <row r="146" spans="1:16">
      <c r="A146" s="66" t="s">
        <v>143</v>
      </c>
      <c r="B146" s="66" t="str">
        <f>"Student Company"</f>
        <v>Student Company</v>
      </c>
      <c r="C146" s="67">
        <v>6</v>
      </c>
      <c r="D146" s="102"/>
      <c r="E146" s="64"/>
      <c r="F146" s="64" t="s">
        <v>46</v>
      </c>
      <c r="G146" s="52"/>
      <c r="H146" s="92"/>
      <c r="I146" s="98" t="s">
        <v>221</v>
      </c>
      <c r="J146" s="98" t="str">
        <f>"ICT en Samenleving"</f>
        <v>ICT en Samenleving</v>
      </c>
      <c r="K146" s="99">
        <v>3</v>
      </c>
      <c r="L146" s="100"/>
      <c r="M146" s="25"/>
      <c r="N146" s="25"/>
      <c r="O146" s="25"/>
      <c r="P146" s="25"/>
    </row>
    <row r="147" spans="1:16">
      <c r="A147" s="64" t="s">
        <v>45</v>
      </c>
      <c r="B147" s="51"/>
      <c r="C147" s="52"/>
      <c r="D147" s="101"/>
      <c r="E147" s="91" t="s">
        <v>141</v>
      </c>
      <c r="F147" s="66" t="str">
        <f>"Duurzaam Ondernemen"</f>
        <v>Duurzaam Ondernemen</v>
      </c>
      <c r="G147" s="67">
        <v>6</v>
      </c>
      <c r="H147" s="68"/>
      <c r="I147" s="61" t="s">
        <v>45</v>
      </c>
      <c r="J147" s="62"/>
      <c r="K147" s="63"/>
      <c r="L147" s="244"/>
      <c r="M147" s="25"/>
      <c r="N147" s="25"/>
      <c r="O147" s="25"/>
      <c r="P147" s="25"/>
    </row>
    <row r="148" spans="1:16">
      <c r="A148" s="103" t="s">
        <v>6</v>
      </c>
      <c r="B148" s="76"/>
      <c r="C148" s="104"/>
      <c r="D148" s="105"/>
      <c r="E148" s="267" t="s">
        <v>144</v>
      </c>
      <c r="F148" s="66" t="s">
        <v>145</v>
      </c>
      <c r="G148" s="67">
        <v>6</v>
      </c>
      <c r="H148" s="68"/>
      <c r="M148" s="103" t="s">
        <v>6</v>
      </c>
      <c r="N148" s="76"/>
      <c r="O148" s="104"/>
      <c r="P148" s="105"/>
    </row>
    <row r="149" spans="1:16">
      <c r="A149" s="103" t="s">
        <v>6</v>
      </c>
      <c r="B149" s="76"/>
      <c r="C149" s="104"/>
      <c r="D149" s="105"/>
      <c r="E149" s="267" t="s">
        <v>143</v>
      </c>
      <c r="F149" s="66" t="s">
        <v>146</v>
      </c>
      <c r="G149" s="67">
        <v>6</v>
      </c>
      <c r="H149" s="68"/>
      <c r="M149" s="103" t="s">
        <v>6</v>
      </c>
      <c r="N149" s="76"/>
      <c r="O149" s="104"/>
      <c r="P149" s="105"/>
    </row>
    <row r="150" spans="1:16">
      <c r="A150" s="103" t="s">
        <v>6</v>
      </c>
      <c r="B150" s="76"/>
      <c r="C150" s="104"/>
      <c r="D150" s="105"/>
      <c r="E150" s="64" t="s">
        <v>45</v>
      </c>
      <c r="F150" s="51"/>
      <c r="G150" s="52"/>
      <c r="H150" s="65"/>
      <c r="M150" s="103" t="s">
        <v>6</v>
      </c>
      <c r="N150" s="76"/>
      <c r="O150" s="104"/>
      <c r="P150" s="105"/>
    </row>
    <row r="151" spans="1:16" ht="23.25">
      <c r="A151" s="56" t="s">
        <v>147</v>
      </c>
      <c r="B151" s="54"/>
      <c r="C151" s="57"/>
      <c r="E151" s="296" t="s">
        <v>550</v>
      </c>
      <c r="F151" s="54"/>
      <c r="G151" s="54"/>
      <c r="H151" s="93"/>
    </row>
    <row r="152" spans="1:16">
      <c r="A152" s="59" t="s">
        <v>485</v>
      </c>
      <c r="B152" s="54"/>
      <c r="C152" s="57"/>
      <c r="E152" s="59" t="s">
        <v>66</v>
      </c>
      <c r="F152" s="54"/>
      <c r="G152" s="57"/>
      <c r="H152" s="112"/>
      <c r="I152" s="103" t="s">
        <v>398</v>
      </c>
      <c r="J152" s="54"/>
      <c r="K152" s="57"/>
      <c r="L152" s="69"/>
    </row>
    <row r="153" spans="1:16">
      <c r="A153" s="51" t="s">
        <v>148</v>
      </c>
      <c r="B153" s="51" t="str">
        <f>"Modelleren"</f>
        <v>Modelleren</v>
      </c>
      <c r="C153" s="52">
        <v>3</v>
      </c>
      <c r="D153" s="65" t="s">
        <v>44</v>
      </c>
      <c r="E153" s="51" t="s">
        <v>148</v>
      </c>
      <c r="F153" s="51" t="str">
        <f>"Modelleren"</f>
        <v>Modelleren</v>
      </c>
      <c r="G153" s="52">
        <v>3</v>
      </c>
      <c r="H153" s="65" t="s">
        <v>44</v>
      </c>
      <c r="I153" s="64" t="s">
        <v>105</v>
      </c>
      <c r="J153" s="51" t="str">
        <f>"Security"</f>
        <v>Security</v>
      </c>
      <c r="K153" s="52">
        <v>6</v>
      </c>
      <c r="L153" s="92" t="s">
        <v>44</v>
      </c>
    </row>
    <row r="154" spans="1:16">
      <c r="A154" s="51" t="s">
        <v>105</v>
      </c>
      <c r="B154" s="51" t="str">
        <f>"Security"</f>
        <v>Security</v>
      </c>
      <c r="C154" s="52">
        <v>6</v>
      </c>
      <c r="D154" s="65" t="s">
        <v>44</v>
      </c>
      <c r="E154" s="51" t="s">
        <v>105</v>
      </c>
      <c r="F154" s="51" t="str">
        <f>"Security"</f>
        <v>Security</v>
      </c>
      <c r="G154" s="52">
        <v>6</v>
      </c>
      <c r="H154" s="65" t="s">
        <v>44</v>
      </c>
      <c r="I154" s="64" t="s">
        <v>148</v>
      </c>
      <c r="J154" s="51" t="str">
        <f>"Modelleren"</f>
        <v>Modelleren</v>
      </c>
      <c r="K154" s="52">
        <v>3</v>
      </c>
      <c r="L154" s="92" t="s">
        <v>44</v>
      </c>
    </row>
    <row r="155" spans="1:16">
      <c r="A155" s="51" t="s">
        <v>149</v>
      </c>
      <c r="B155" s="51" t="str">
        <f>"Requirements Engineering"</f>
        <v>Requirements Engineering</v>
      </c>
      <c r="C155" s="52">
        <v>3</v>
      </c>
      <c r="D155" s="65" t="s">
        <v>44</v>
      </c>
      <c r="E155" s="51" t="s">
        <v>149</v>
      </c>
      <c r="F155" s="51" t="str">
        <f>"Requirements Engineering"</f>
        <v>Requirements Engineering</v>
      </c>
      <c r="G155" s="52">
        <v>3</v>
      </c>
      <c r="H155" s="65" t="s">
        <v>44</v>
      </c>
      <c r="I155" s="64" t="s">
        <v>150</v>
      </c>
      <c r="J155" s="51" t="str">
        <f>"Architectuur Digitale Wereld"</f>
        <v>Architectuur Digitale Wereld</v>
      </c>
      <c r="K155" s="52">
        <v>3</v>
      </c>
      <c r="L155" s="92" t="s">
        <v>44</v>
      </c>
    </row>
    <row r="156" spans="1:16">
      <c r="A156" s="51" t="s">
        <v>151</v>
      </c>
      <c r="B156" s="51" t="str">
        <f>"Informatiesystemen"</f>
        <v>Informatiesystemen</v>
      </c>
      <c r="C156" s="52">
        <v>3</v>
      </c>
      <c r="D156" s="65" t="s">
        <v>44</v>
      </c>
      <c r="E156" s="51" t="s">
        <v>29</v>
      </c>
      <c r="F156" s="51" t="str">
        <f>"Operating Systems"</f>
        <v>Operating Systems</v>
      </c>
      <c r="G156" s="52">
        <v>3</v>
      </c>
      <c r="H156" s="65" t="s">
        <v>44</v>
      </c>
      <c r="I156" s="64"/>
      <c r="J156" s="184" t="s">
        <v>46</v>
      </c>
      <c r="K156" s="52"/>
      <c r="L156" s="92"/>
    </row>
    <row r="157" spans="1:16">
      <c r="A157" s="64" t="s">
        <v>45</v>
      </c>
      <c r="B157" s="51"/>
      <c r="C157" s="52"/>
      <c r="D157" s="65"/>
      <c r="E157" s="51" t="s">
        <v>151</v>
      </c>
      <c r="F157" s="51" t="str">
        <f>"Informatiesystemen"</f>
        <v>Informatiesystemen</v>
      </c>
      <c r="G157" s="52">
        <v>3</v>
      </c>
      <c r="H157" s="65" t="s">
        <v>44</v>
      </c>
      <c r="I157" s="91" t="s">
        <v>151</v>
      </c>
      <c r="J157" s="66" t="str">
        <f>"Informatiesystemen"</f>
        <v>Informatiesystemen</v>
      </c>
      <c r="K157" s="67">
        <v>3</v>
      </c>
      <c r="L157" s="68"/>
    </row>
    <row r="158" spans="1:16">
      <c r="A158" s="64" t="s">
        <v>6</v>
      </c>
      <c r="B158" s="51"/>
      <c r="C158" s="52"/>
      <c r="D158" s="65"/>
      <c r="E158" s="64" t="s">
        <v>45</v>
      </c>
      <c r="F158" s="51"/>
      <c r="G158" s="52"/>
      <c r="H158" s="65"/>
      <c r="I158" s="91" t="s">
        <v>29</v>
      </c>
      <c r="J158" s="66" t="str">
        <f>"Operating Systems"</f>
        <v>Operating Systems</v>
      </c>
      <c r="K158" s="67">
        <v>3</v>
      </c>
      <c r="L158" s="68"/>
    </row>
    <row r="159" spans="1:16">
      <c r="A159" s="64" t="s">
        <v>6</v>
      </c>
      <c r="B159" s="51"/>
      <c r="C159" s="52"/>
      <c r="D159" s="65"/>
      <c r="E159" s="64" t="s">
        <v>6</v>
      </c>
      <c r="F159" s="51"/>
      <c r="G159" s="52"/>
      <c r="H159" s="65"/>
      <c r="I159" s="64" t="s">
        <v>45</v>
      </c>
      <c r="J159" s="51"/>
      <c r="K159" s="52"/>
      <c r="L159" s="92"/>
    </row>
    <row r="160" spans="1:16" ht="23.25">
      <c r="A160" s="56" t="s">
        <v>152</v>
      </c>
      <c r="B160" s="54"/>
      <c r="C160" s="57"/>
      <c r="E160" s="296" t="s">
        <v>551</v>
      </c>
      <c r="F160" s="54"/>
      <c r="G160" s="57"/>
    </row>
    <row r="161" spans="1:12">
      <c r="A161" s="59" t="s">
        <v>477</v>
      </c>
      <c r="B161" s="54"/>
      <c r="C161" s="57"/>
      <c r="E161" s="59" t="s">
        <v>440</v>
      </c>
      <c r="F161" s="54"/>
      <c r="G161" s="57"/>
      <c r="H161" s="112"/>
    </row>
    <row r="162" spans="1:12">
      <c r="A162" s="51" t="s">
        <v>450</v>
      </c>
      <c r="B162" s="51" t="str">
        <f>"Inleiding Wiskunde"</f>
        <v>Inleiding Wiskunde</v>
      </c>
      <c r="C162" s="52">
        <v>6</v>
      </c>
      <c r="D162" s="65" t="s">
        <v>44</v>
      </c>
      <c r="E162" s="51" t="s">
        <v>153</v>
      </c>
      <c r="F162" s="51" t="str">
        <f>"Inleiding in de Wiskunde"</f>
        <v>Inleiding in de Wiskunde</v>
      </c>
      <c r="G162" s="52">
        <v>3</v>
      </c>
      <c r="H162" s="65" t="s">
        <v>44</v>
      </c>
    </row>
    <row r="163" spans="1:12">
      <c r="A163" s="51" t="s">
        <v>488</v>
      </c>
      <c r="B163" s="51" t="str">
        <f>"Calculus A"</f>
        <v>Calculus A</v>
      </c>
      <c r="C163" s="52">
        <v>6</v>
      </c>
      <c r="D163" s="65" t="s">
        <v>44</v>
      </c>
      <c r="E163" s="51" t="s">
        <v>154</v>
      </c>
      <c r="F163" s="51" t="str">
        <f>"Calculus 1"</f>
        <v>Calculus 1</v>
      </c>
      <c r="G163" s="52">
        <v>3</v>
      </c>
      <c r="H163" s="65" t="s">
        <v>44</v>
      </c>
    </row>
    <row r="164" spans="1:12">
      <c r="A164" s="51" t="s">
        <v>489</v>
      </c>
      <c r="B164" s="51" t="str">
        <f>"Lineaire Algebra A"</f>
        <v>Lineaire Algebra A</v>
      </c>
      <c r="C164" s="52">
        <v>6</v>
      </c>
      <c r="D164" s="65" t="s">
        <v>44</v>
      </c>
      <c r="E164" s="51" t="s">
        <v>155</v>
      </c>
      <c r="F164" s="51" t="str">
        <f>"Calculus 2"</f>
        <v>Calculus 2</v>
      </c>
      <c r="G164" s="52">
        <v>3</v>
      </c>
      <c r="H164" s="65" t="s">
        <v>44</v>
      </c>
    </row>
    <row r="165" spans="1:12">
      <c r="A165" s="64" t="s">
        <v>45</v>
      </c>
      <c r="B165" s="51"/>
      <c r="C165" s="52"/>
      <c r="D165" s="65"/>
      <c r="E165" s="51" t="s">
        <v>156</v>
      </c>
      <c r="F165" s="51" t="str">
        <f>"Lineaire Algebra 1"</f>
        <v>Lineaire Algebra 1</v>
      </c>
      <c r="G165" s="52">
        <v>3</v>
      </c>
      <c r="H165" s="65" t="s">
        <v>44</v>
      </c>
    </row>
    <row r="166" spans="1:12">
      <c r="A166" s="51"/>
      <c r="B166" s="51"/>
      <c r="C166" s="52"/>
      <c r="D166" s="65"/>
      <c r="E166" s="51" t="s">
        <v>157</v>
      </c>
      <c r="F166" s="51" t="str">
        <f>"Lineaire Algebra 2"</f>
        <v>Lineaire Algebra 2</v>
      </c>
      <c r="G166" s="52">
        <v>3</v>
      </c>
      <c r="H166" s="65" t="s">
        <v>44</v>
      </c>
    </row>
    <row r="167" spans="1:12">
      <c r="A167" s="64"/>
      <c r="B167" s="51"/>
      <c r="C167" s="52"/>
      <c r="D167" s="65"/>
      <c r="E167" s="64" t="s">
        <v>45</v>
      </c>
      <c r="F167" s="51"/>
      <c r="G167" s="52"/>
      <c r="H167" s="65"/>
    </row>
    <row r="168" spans="1:12" ht="23.25">
      <c r="A168" s="56" t="s">
        <v>158</v>
      </c>
      <c r="B168" s="54"/>
      <c r="C168" s="57"/>
      <c r="E168" s="296" t="s">
        <v>552</v>
      </c>
      <c r="F168" s="54"/>
      <c r="G168" s="57"/>
    </row>
    <row r="169" spans="1:12">
      <c r="A169" s="59" t="s">
        <v>485</v>
      </c>
      <c r="B169" s="54"/>
      <c r="C169" s="57"/>
      <c r="E169" s="59" t="s">
        <v>55</v>
      </c>
      <c r="F169" s="54"/>
      <c r="G169" s="57"/>
      <c r="H169" s="112"/>
    </row>
    <row r="170" spans="1:12">
      <c r="A170" s="51" t="s">
        <v>449</v>
      </c>
      <c r="B170" s="51" t="str">
        <f>"Groepentheorie"</f>
        <v>Groepentheorie</v>
      </c>
      <c r="C170" s="52">
        <v>6</v>
      </c>
      <c r="D170" s="65" t="s">
        <v>44</v>
      </c>
      <c r="E170" s="51" t="s">
        <v>159</v>
      </c>
      <c r="F170" s="51" t="str">
        <f>"Groepentheorie 1"</f>
        <v>Groepentheorie 1</v>
      </c>
      <c r="G170" s="52">
        <v>3</v>
      </c>
      <c r="H170" s="65" t="s">
        <v>44</v>
      </c>
    </row>
    <row r="171" spans="1:12">
      <c r="A171" s="51" t="s">
        <v>161</v>
      </c>
      <c r="B171" s="51" t="str">
        <f>"Analyse 1"</f>
        <v>Analyse 1</v>
      </c>
      <c r="C171" s="52">
        <v>6</v>
      </c>
      <c r="D171" s="65" t="s">
        <v>44</v>
      </c>
      <c r="E171" s="51" t="s">
        <v>160</v>
      </c>
      <c r="F171" s="51" t="str">
        <f>"Groepentheorie 2"</f>
        <v>Groepentheorie 2</v>
      </c>
      <c r="G171" s="52">
        <v>3</v>
      </c>
      <c r="H171" s="65" t="s">
        <v>44</v>
      </c>
    </row>
    <row r="172" spans="1:12">
      <c r="A172" s="51" t="s">
        <v>162</v>
      </c>
      <c r="B172" s="51" t="str">
        <f>"Inleiding Statistiek"</f>
        <v>Inleiding Statistiek</v>
      </c>
      <c r="C172" s="52">
        <v>3</v>
      </c>
      <c r="D172" s="65" t="s">
        <v>44</v>
      </c>
      <c r="E172" s="51" t="s">
        <v>161</v>
      </c>
      <c r="F172" s="51" t="str">
        <f>"Analyse 1"</f>
        <v>Analyse 1</v>
      </c>
      <c r="G172" s="52">
        <v>6</v>
      </c>
      <c r="H172" s="65" t="s">
        <v>44</v>
      </c>
    </row>
    <row r="173" spans="1:12">
      <c r="A173" s="64" t="s">
        <v>45</v>
      </c>
      <c r="B173" s="51"/>
      <c r="C173" s="52"/>
      <c r="D173" s="65"/>
      <c r="E173" s="51" t="s">
        <v>162</v>
      </c>
      <c r="F173" s="51" t="str">
        <f>"Inleiding Statistiek"</f>
        <v>Inleiding Statistiek</v>
      </c>
      <c r="G173" s="52">
        <v>3</v>
      </c>
      <c r="H173" s="65" t="s">
        <v>44</v>
      </c>
    </row>
    <row r="174" spans="1:12">
      <c r="E174" s="64" t="s">
        <v>45</v>
      </c>
      <c r="F174" s="51"/>
      <c r="G174" s="52"/>
      <c r="H174" s="65"/>
    </row>
    <row r="175" spans="1:12" ht="23.25">
      <c r="A175" s="90" t="s">
        <v>36</v>
      </c>
      <c r="B175" s="54"/>
      <c r="C175" s="57"/>
      <c r="E175" s="296" t="s">
        <v>552</v>
      </c>
      <c r="F175" s="54"/>
      <c r="G175" s="57"/>
    </row>
    <row r="176" spans="1:12">
      <c r="A176" s="59" t="s">
        <v>485</v>
      </c>
      <c r="B176" s="54"/>
      <c r="C176" s="57"/>
      <c r="E176" s="59" t="s">
        <v>55</v>
      </c>
      <c r="F176" s="54"/>
      <c r="G176" s="57"/>
      <c r="H176" s="112"/>
      <c r="I176" s="59"/>
      <c r="J176" s="54"/>
      <c r="K176" s="57"/>
      <c r="L176" s="112"/>
    </row>
    <row r="177" spans="1:20">
      <c r="A177" s="51" t="s">
        <v>449</v>
      </c>
      <c r="B177" s="51" t="str">
        <f>"Groepentheorie"</f>
        <v>Groepentheorie</v>
      </c>
      <c r="C177" s="52">
        <v>3</v>
      </c>
      <c r="D177" s="65" t="s">
        <v>44</v>
      </c>
      <c r="E177" s="51" t="s">
        <v>153</v>
      </c>
      <c r="F177" s="51" t="str">
        <f>"Inleiding in de Wiskunde"</f>
        <v>Inleiding in de Wiskunde</v>
      </c>
      <c r="G177" s="52">
        <v>3</v>
      </c>
      <c r="H177" s="65" t="s">
        <v>44</v>
      </c>
      <c r="I177" s="51"/>
      <c r="J177" s="51"/>
      <c r="K177" s="52"/>
      <c r="L177" s="65"/>
    </row>
    <row r="178" spans="1:20">
      <c r="A178" s="51" t="s">
        <v>161</v>
      </c>
      <c r="B178" s="51" t="str">
        <f>"Analyse 1"</f>
        <v>Analyse 1</v>
      </c>
      <c r="C178" s="52">
        <v>6</v>
      </c>
      <c r="D178" s="65" t="s">
        <v>44</v>
      </c>
      <c r="E178" s="51" t="s">
        <v>156</v>
      </c>
      <c r="F178" s="51" t="str">
        <f>"Lineaire Algebra 1"</f>
        <v>Lineaire Algebra 1</v>
      </c>
      <c r="G178" s="52">
        <v>3</v>
      </c>
      <c r="H178" s="65" t="s">
        <v>44</v>
      </c>
      <c r="I178" s="51"/>
      <c r="J178" s="51"/>
      <c r="K178" s="52"/>
      <c r="L178" s="65"/>
    </row>
    <row r="179" spans="1:20">
      <c r="A179" s="51" t="s">
        <v>162</v>
      </c>
      <c r="B179" s="51" t="str">
        <f>"Inleiding Statistiek"</f>
        <v>Inleiding Statistiek</v>
      </c>
      <c r="C179" s="52">
        <v>3</v>
      </c>
      <c r="D179" s="65" t="s">
        <v>44</v>
      </c>
      <c r="E179" s="51" t="s">
        <v>157</v>
      </c>
      <c r="F179" s="51" t="str">
        <f>"Lineaire Algebra 2"</f>
        <v>Lineaire Algebra 2</v>
      </c>
      <c r="G179" s="52">
        <v>3</v>
      </c>
      <c r="H179" s="65" t="s">
        <v>44</v>
      </c>
      <c r="I179" s="51"/>
      <c r="J179" s="51"/>
      <c r="K179" s="52"/>
      <c r="L179" s="65"/>
    </row>
    <row r="180" spans="1:20">
      <c r="A180" s="64" t="s">
        <v>45</v>
      </c>
      <c r="B180" s="51"/>
      <c r="C180" s="52"/>
      <c r="D180" s="65"/>
      <c r="E180" s="51" t="s">
        <v>163</v>
      </c>
      <c r="F180" s="51" t="str">
        <f>"Lineaire Algebra 3"</f>
        <v>Lineaire Algebra 3</v>
      </c>
      <c r="G180" s="52">
        <v>3</v>
      </c>
      <c r="H180" s="65" t="s">
        <v>44</v>
      </c>
      <c r="I180" s="51"/>
      <c r="J180" s="51"/>
      <c r="K180" s="52"/>
      <c r="L180" s="65"/>
    </row>
    <row r="181" spans="1:20">
      <c r="A181" s="25"/>
      <c r="B181" s="25"/>
      <c r="C181" s="25"/>
      <c r="D181" s="25"/>
      <c r="E181" s="51" t="s">
        <v>159</v>
      </c>
      <c r="F181" s="51" t="str">
        <f>"Groepentheorie 1"</f>
        <v>Groepentheorie 1</v>
      </c>
      <c r="G181" s="52">
        <v>3</v>
      </c>
      <c r="H181" s="65" t="s">
        <v>44</v>
      </c>
      <c r="I181" s="51"/>
      <c r="J181" s="51"/>
      <c r="K181" s="52"/>
      <c r="L181" s="65"/>
    </row>
    <row r="182" spans="1:20">
      <c r="A182" s="25"/>
      <c r="B182" s="25"/>
      <c r="C182" s="25"/>
      <c r="D182" s="25"/>
      <c r="E182" s="64" t="s">
        <v>6</v>
      </c>
      <c r="F182" s="64" t="s">
        <v>164</v>
      </c>
      <c r="G182" s="52"/>
      <c r="H182" s="65"/>
      <c r="I182" s="64"/>
      <c r="J182" s="64"/>
      <c r="K182" s="52"/>
      <c r="L182" s="65"/>
    </row>
    <row r="183" spans="1:20">
      <c r="A183" s="25"/>
      <c r="B183" s="25"/>
      <c r="C183" s="25"/>
      <c r="D183" s="25"/>
      <c r="E183" s="51" t="s">
        <v>160</v>
      </c>
      <c r="F183" s="51" t="str">
        <f>"Groepentheorie 2"</f>
        <v>Groepentheorie 2</v>
      </c>
      <c r="G183" s="52">
        <v>3</v>
      </c>
      <c r="H183" s="65"/>
      <c r="I183" s="51"/>
      <c r="J183" s="51"/>
      <c r="K183" s="52"/>
      <c r="L183" s="65"/>
    </row>
    <row r="184" spans="1:20">
      <c r="A184" s="25"/>
      <c r="B184" s="25"/>
      <c r="C184" s="25"/>
      <c r="D184" s="25"/>
      <c r="E184" s="51" t="s">
        <v>161</v>
      </c>
      <c r="F184" s="51" t="str">
        <f>"Analyse 1"</f>
        <v>Analyse 1</v>
      </c>
      <c r="G184" s="52">
        <v>6</v>
      </c>
      <c r="H184" s="65"/>
      <c r="I184" s="51"/>
      <c r="J184" s="51"/>
      <c r="K184" s="52"/>
      <c r="L184" s="65"/>
    </row>
    <row r="185" spans="1:20">
      <c r="A185" s="25"/>
      <c r="B185" s="25"/>
      <c r="C185" s="25"/>
      <c r="D185" s="25"/>
      <c r="E185" s="51" t="s">
        <v>165</v>
      </c>
      <c r="F185" s="51" t="str">
        <f>"Lineaire Algebra 4"</f>
        <v>Lineaire Algebra 4</v>
      </c>
      <c r="G185" s="52">
        <v>3</v>
      </c>
      <c r="H185" s="65"/>
      <c r="I185" s="51"/>
      <c r="J185" s="51"/>
      <c r="K185" s="52"/>
      <c r="L185" s="65"/>
    </row>
    <row r="186" spans="1:20">
      <c r="A186" s="25"/>
      <c r="B186" s="25"/>
      <c r="C186" s="25"/>
      <c r="D186" s="25"/>
      <c r="E186" s="51" t="s">
        <v>166</v>
      </c>
      <c r="F186" s="51" t="str">
        <f>"Complexe Functies"</f>
        <v>Complexe Functies</v>
      </c>
      <c r="G186" s="52">
        <v>3</v>
      </c>
      <c r="H186" s="65"/>
      <c r="I186" s="51"/>
      <c r="J186" s="51"/>
      <c r="K186" s="52"/>
      <c r="L186" s="65"/>
    </row>
    <row r="187" spans="1:20">
      <c r="A187" s="25"/>
      <c r="B187" s="25"/>
      <c r="C187" s="25"/>
      <c r="D187" s="25"/>
      <c r="E187" s="64" t="s">
        <v>45</v>
      </c>
      <c r="F187" s="51"/>
      <c r="G187" s="52"/>
      <c r="H187" s="65"/>
      <c r="I187" s="64"/>
      <c r="J187" s="51"/>
      <c r="K187" s="52"/>
      <c r="L187" s="65"/>
    </row>
    <row r="188" spans="1:20" ht="23.25">
      <c r="A188" s="56" t="s">
        <v>167</v>
      </c>
      <c r="B188" s="54"/>
      <c r="C188" s="57"/>
      <c r="E188" s="296" t="s">
        <v>553</v>
      </c>
      <c r="F188" s="54"/>
      <c r="G188" s="57"/>
    </row>
    <row r="189" spans="1:20">
      <c r="A189" s="59" t="s">
        <v>485</v>
      </c>
      <c r="B189" s="54"/>
      <c r="C189" s="57"/>
      <c r="E189" s="59" t="s">
        <v>55</v>
      </c>
      <c r="F189" s="54"/>
      <c r="G189" s="57"/>
      <c r="H189" s="112"/>
      <c r="T189" s="77"/>
    </row>
    <row r="190" spans="1:20">
      <c r="A190" s="51" t="s">
        <v>450</v>
      </c>
      <c r="B190" s="51" t="str">
        <f>"Inleiding Wiskunde"</f>
        <v>Inleiding Wiskunde</v>
      </c>
      <c r="C190" s="52">
        <v>6</v>
      </c>
      <c r="D190" s="65" t="s">
        <v>44</v>
      </c>
      <c r="E190" s="51" t="s">
        <v>153</v>
      </c>
      <c r="F190" s="51" t="str">
        <f>"Inleiding in de Wiskunde"</f>
        <v>Inleiding in de Wiskunde</v>
      </c>
      <c r="G190" s="52">
        <v>3</v>
      </c>
      <c r="H190" s="65" t="s">
        <v>44</v>
      </c>
      <c r="T190" s="77"/>
    </row>
    <row r="191" spans="1:20">
      <c r="A191" s="51" t="s">
        <v>449</v>
      </c>
      <c r="B191" s="51" t="str">
        <f>"Groepentheorie"</f>
        <v>Groepentheorie</v>
      </c>
      <c r="C191" s="52">
        <v>6</v>
      </c>
      <c r="D191" s="65" t="s">
        <v>44</v>
      </c>
      <c r="E191" s="51" t="s">
        <v>159</v>
      </c>
      <c r="F191" s="51" t="str">
        <f>"Groepentheorie 1"</f>
        <v>Groepentheorie 1</v>
      </c>
      <c r="G191" s="52">
        <v>3</v>
      </c>
      <c r="H191" s="65" t="s">
        <v>44</v>
      </c>
      <c r="T191" s="77"/>
    </row>
    <row r="192" spans="1:20">
      <c r="A192" s="51" t="s">
        <v>161</v>
      </c>
      <c r="B192" s="51" t="str">
        <f>"Analyse 1"</f>
        <v>Analyse 1</v>
      </c>
      <c r="C192" s="52">
        <v>6</v>
      </c>
      <c r="D192" s="65" t="s">
        <v>44</v>
      </c>
      <c r="E192" s="51" t="s">
        <v>160</v>
      </c>
      <c r="F192" s="51" t="str">
        <f>"Groepentheorie 2"</f>
        <v>Groepentheorie 2</v>
      </c>
      <c r="G192" s="52">
        <v>3</v>
      </c>
      <c r="H192" s="65" t="s">
        <v>44</v>
      </c>
      <c r="T192" s="77"/>
    </row>
    <row r="193" spans="1:20">
      <c r="A193" s="51" t="s">
        <v>169</v>
      </c>
      <c r="B193" s="51" t="str">
        <f>"Analyse 2"</f>
        <v>Analyse 2</v>
      </c>
      <c r="C193" s="52">
        <v>6</v>
      </c>
      <c r="D193" s="65" t="s">
        <v>44</v>
      </c>
      <c r="E193" s="51" t="s">
        <v>165</v>
      </c>
      <c r="F193" s="51" t="str">
        <f>"Lineaire Algebra 4"</f>
        <v>Lineaire Algebra 4</v>
      </c>
      <c r="G193" s="52">
        <v>3</v>
      </c>
      <c r="H193" s="65" t="s">
        <v>44</v>
      </c>
      <c r="T193" s="77"/>
    </row>
    <row r="194" spans="1:20">
      <c r="A194" s="51" t="s">
        <v>170</v>
      </c>
      <c r="B194" s="51" t="str">
        <f>"Ringen en Lichamen"</f>
        <v>Ringen en Lichamen</v>
      </c>
      <c r="C194" s="52">
        <v>6</v>
      </c>
      <c r="D194" s="65" t="s">
        <v>44</v>
      </c>
      <c r="E194" s="51" t="s">
        <v>161</v>
      </c>
      <c r="F194" s="51" t="str">
        <f>"Analyse 1"</f>
        <v>Analyse 1</v>
      </c>
      <c r="G194" s="52">
        <v>6</v>
      </c>
      <c r="H194" s="65" t="s">
        <v>44</v>
      </c>
      <c r="T194" s="77"/>
    </row>
    <row r="195" spans="1:20">
      <c r="A195" s="64" t="s">
        <v>45</v>
      </c>
      <c r="B195" s="51"/>
      <c r="C195" s="52"/>
      <c r="D195" s="65"/>
      <c r="E195" s="51" t="s">
        <v>169</v>
      </c>
      <c r="F195" s="51" t="str">
        <f>"Analyse 2"</f>
        <v>Analyse 2</v>
      </c>
      <c r="G195" s="52">
        <v>6</v>
      </c>
      <c r="H195" s="65" t="s">
        <v>44</v>
      </c>
      <c r="T195" s="77"/>
    </row>
    <row r="196" spans="1:20">
      <c r="E196" s="51" t="s">
        <v>170</v>
      </c>
      <c r="F196" s="51" t="str">
        <f>"Ringen en Lichamen"</f>
        <v>Ringen en Lichamen</v>
      </c>
      <c r="G196" s="52">
        <v>6</v>
      </c>
      <c r="H196" s="65" t="s">
        <v>44</v>
      </c>
      <c r="T196" s="77"/>
    </row>
    <row r="197" spans="1:20">
      <c r="E197" s="64" t="s">
        <v>45</v>
      </c>
      <c r="F197" s="51"/>
      <c r="G197" s="52"/>
      <c r="H197" s="65"/>
      <c r="T197" s="77"/>
    </row>
    <row r="198" spans="1:20" ht="23.25">
      <c r="A198" s="56" t="s">
        <v>171</v>
      </c>
      <c r="B198" s="54"/>
      <c r="C198" s="57"/>
      <c r="E198" s="296" t="s">
        <v>554</v>
      </c>
      <c r="F198" s="54"/>
      <c r="G198" s="57"/>
    </row>
    <row r="199" spans="1:20">
      <c r="A199" s="59" t="s">
        <v>477</v>
      </c>
      <c r="B199" s="54"/>
      <c r="C199" s="57"/>
      <c r="E199" s="59" t="s">
        <v>443</v>
      </c>
      <c r="F199" s="54"/>
      <c r="G199" s="57"/>
      <c r="H199" s="112"/>
      <c r="I199" s="59" t="s">
        <v>66</v>
      </c>
      <c r="J199" s="54"/>
      <c r="K199" s="57"/>
      <c r="L199" s="112"/>
      <c r="M199" s="103" t="s">
        <v>399</v>
      </c>
      <c r="N199" s="54"/>
      <c r="O199" s="57"/>
      <c r="P199" s="69"/>
    </row>
    <row r="200" spans="1:20" ht="15.75" thickBot="1">
      <c r="A200" s="64" t="s">
        <v>6</v>
      </c>
      <c r="B200" s="71" t="s">
        <v>172</v>
      </c>
      <c r="C200" s="52"/>
      <c r="E200" s="64" t="s">
        <v>6</v>
      </c>
      <c r="F200" s="71" t="s">
        <v>172</v>
      </c>
      <c r="G200" s="52"/>
      <c r="H200" s="65"/>
      <c r="I200" s="64" t="s">
        <v>6</v>
      </c>
      <c r="J200" s="71" t="s">
        <v>172</v>
      </c>
      <c r="K200" s="52"/>
      <c r="L200" s="65"/>
      <c r="M200" s="64"/>
      <c r="N200" s="71" t="s">
        <v>172</v>
      </c>
      <c r="O200" s="52"/>
      <c r="P200" s="92"/>
    </row>
    <row r="201" spans="1:20" ht="15.75" thickBot="1">
      <c r="A201" s="292" t="s">
        <v>19</v>
      </c>
      <c r="B201" s="293" t="s">
        <v>490</v>
      </c>
      <c r="C201" s="293">
        <v>6</v>
      </c>
      <c r="E201" s="94" t="s">
        <v>173</v>
      </c>
      <c r="F201" s="94" t="str">
        <f>"Animal Cell Biology"</f>
        <v>Animal Cell Biology</v>
      </c>
      <c r="G201" s="95">
        <v>6</v>
      </c>
      <c r="H201" s="96"/>
      <c r="I201" s="94" t="s">
        <v>19</v>
      </c>
      <c r="J201" s="94" t="str">
        <f>"Biochemistry and Molecular Biology II"</f>
        <v>Biochemistry and Molecular Biology II</v>
      </c>
      <c r="K201" s="95">
        <v>6</v>
      </c>
      <c r="L201" s="96"/>
      <c r="M201" s="268" t="s">
        <v>19</v>
      </c>
      <c r="N201" s="94" t="str">
        <f>"Biochemistry and Molecular Biology II"</f>
        <v>Biochemistry and Molecular Biology II</v>
      </c>
      <c r="O201" s="95">
        <v>6</v>
      </c>
      <c r="P201" s="96"/>
    </row>
    <row r="202" spans="1:20" ht="15.75" thickBot="1">
      <c r="A202" s="294" t="s">
        <v>88</v>
      </c>
      <c r="B202" s="295" t="s">
        <v>491</v>
      </c>
      <c r="C202" s="295">
        <v>6</v>
      </c>
      <c r="E202" s="94" t="s">
        <v>93</v>
      </c>
      <c r="F202" s="94" t="str">
        <f>"Applied Bioinformatics"</f>
        <v>Applied Bioinformatics</v>
      </c>
      <c r="G202" s="95">
        <v>6</v>
      </c>
      <c r="H202" s="96"/>
      <c r="I202" s="94" t="s">
        <v>173</v>
      </c>
      <c r="J202" s="94" t="str">
        <f>"Celbiologie van Dieren"</f>
        <v>Celbiologie van Dieren</v>
      </c>
      <c r="K202" s="95">
        <v>6</v>
      </c>
      <c r="L202" s="96"/>
      <c r="M202" s="268" t="s">
        <v>173</v>
      </c>
      <c r="N202" s="94" t="str">
        <f>"Celbiologie van Dieren"</f>
        <v>Celbiologie van Dieren</v>
      </c>
      <c r="O202" s="95">
        <v>6</v>
      </c>
      <c r="P202" s="96"/>
    </row>
    <row r="203" spans="1:20" ht="15.75" thickBot="1">
      <c r="A203" s="294" t="s">
        <v>90</v>
      </c>
      <c r="B203" s="295" t="s">
        <v>492</v>
      </c>
      <c r="C203" s="295">
        <v>6</v>
      </c>
      <c r="E203" s="94" t="s">
        <v>19</v>
      </c>
      <c r="F203" s="94" t="str">
        <f>"Biochemistry and Molecular Biology II"</f>
        <v>Biochemistry and Molecular Biology II</v>
      </c>
      <c r="G203" s="95">
        <v>6</v>
      </c>
      <c r="H203" s="96"/>
      <c r="I203" s="94" t="s">
        <v>174</v>
      </c>
      <c r="J203" s="94" t="str">
        <f>"Cognitive Neuroimaging"</f>
        <v>Cognitive Neuroimaging</v>
      </c>
      <c r="K203" s="95">
        <v>6</v>
      </c>
      <c r="L203" s="96"/>
      <c r="M203" s="268" t="s">
        <v>174</v>
      </c>
      <c r="N203" s="94" t="str">
        <f>"Cognitive Neuroimaging"</f>
        <v>Cognitive Neuroimaging</v>
      </c>
      <c r="O203" s="95">
        <v>6</v>
      </c>
      <c r="P203" s="96"/>
    </row>
    <row r="204" spans="1:20" ht="15.75" thickBot="1">
      <c r="A204" s="294" t="s">
        <v>173</v>
      </c>
      <c r="B204" s="295" t="s">
        <v>493</v>
      </c>
      <c r="C204" s="295">
        <v>6</v>
      </c>
      <c r="E204" s="94" t="s">
        <v>174</v>
      </c>
      <c r="F204" s="94" t="str">
        <f>"Cognitive Neuroimaging"</f>
        <v>Cognitive Neuroimaging</v>
      </c>
      <c r="G204" s="95">
        <v>6</v>
      </c>
      <c r="H204" s="96"/>
      <c r="I204" s="94" t="s">
        <v>175</v>
      </c>
      <c r="J204" s="94" t="str">
        <f>"Endocrinologie"</f>
        <v>Endocrinologie</v>
      </c>
      <c r="K204" s="95">
        <v>6</v>
      </c>
      <c r="L204" s="96"/>
      <c r="M204" s="268" t="s">
        <v>175</v>
      </c>
      <c r="N204" s="94" t="str">
        <f>"Endocrinologie"</f>
        <v>Endocrinologie</v>
      </c>
      <c r="O204" s="95">
        <v>6</v>
      </c>
      <c r="P204" s="96"/>
    </row>
    <row r="205" spans="1:20" ht="15.75" thickBot="1">
      <c r="A205" s="294" t="s">
        <v>179</v>
      </c>
      <c r="B205" s="295" t="s">
        <v>494</v>
      </c>
      <c r="C205" s="295">
        <v>6</v>
      </c>
      <c r="E205" s="94" t="s">
        <v>175</v>
      </c>
      <c r="F205" s="94" t="str">
        <f>"Endocrinology"</f>
        <v>Endocrinology</v>
      </c>
      <c r="G205" s="95">
        <v>6</v>
      </c>
      <c r="H205" s="96"/>
      <c r="I205" s="94" t="s">
        <v>176</v>
      </c>
      <c r="J205" s="94" t="str">
        <f>"Functionele Genomics"</f>
        <v>Functionele Genomics</v>
      </c>
      <c r="K205" s="95">
        <v>6</v>
      </c>
      <c r="L205" s="96"/>
      <c r="M205" s="268" t="s">
        <v>176</v>
      </c>
      <c r="N205" s="94" t="str">
        <f>"Functionele Genomics"</f>
        <v>Functionele Genomics</v>
      </c>
      <c r="O205" s="95">
        <v>6</v>
      </c>
      <c r="P205" s="96"/>
    </row>
    <row r="206" spans="1:20" ht="15.75" thickBot="1">
      <c r="A206" s="294" t="s">
        <v>180</v>
      </c>
      <c r="B206" s="295" t="s">
        <v>495</v>
      </c>
      <c r="C206" s="295">
        <v>6</v>
      </c>
      <c r="E206" s="94" t="s">
        <v>176</v>
      </c>
      <c r="F206" s="94" t="str">
        <f>"Functionele Genomics"</f>
        <v>Functionele Genomics</v>
      </c>
      <c r="G206" s="95">
        <v>6</v>
      </c>
      <c r="H206" s="96"/>
      <c r="I206" s="94" t="s">
        <v>177</v>
      </c>
      <c r="J206" s="94" t="str">
        <f>"Hersenen en Gedrag"</f>
        <v>Hersenen en Gedrag</v>
      </c>
      <c r="K206" s="95">
        <v>6</v>
      </c>
      <c r="L206" s="96"/>
      <c r="M206" s="268" t="s">
        <v>177</v>
      </c>
      <c r="N206" s="94" t="str">
        <f>"Hersenen en Gedrag"</f>
        <v>Hersenen en Gedrag</v>
      </c>
      <c r="O206" s="95">
        <v>6</v>
      </c>
      <c r="P206" s="96"/>
    </row>
    <row r="207" spans="1:20" ht="15.75" thickBot="1">
      <c r="A207" s="294" t="s">
        <v>89</v>
      </c>
      <c r="B207" s="295" t="s">
        <v>496</v>
      </c>
      <c r="C207" s="295">
        <v>6</v>
      </c>
      <c r="E207" s="94" t="s">
        <v>178</v>
      </c>
      <c r="F207" s="94" t="str">
        <f>"Human Embr. and Dev.Biology"</f>
        <v>Human Embr. and Dev.Biology</v>
      </c>
      <c r="G207" s="95">
        <v>6</v>
      </c>
      <c r="H207" s="96"/>
      <c r="I207" s="94" t="s">
        <v>178</v>
      </c>
      <c r="J207" s="94" t="str">
        <f>"Human Embr. and Dev.Biology"</f>
        <v>Human Embr. and Dev.Biology</v>
      </c>
      <c r="K207" s="95">
        <v>6</v>
      </c>
      <c r="L207" s="96"/>
      <c r="M207" s="268" t="s">
        <v>178</v>
      </c>
      <c r="N207" s="94" t="str">
        <f>"Human Embr. and Dev.Biology"</f>
        <v>Human Embr. and Dev.Biology</v>
      </c>
      <c r="O207" s="95">
        <v>6</v>
      </c>
      <c r="P207" s="96"/>
    </row>
    <row r="208" spans="1:20" ht="24.75" thickBot="1">
      <c r="A208" s="294" t="s">
        <v>178</v>
      </c>
      <c r="B208" s="295" t="s">
        <v>497</v>
      </c>
      <c r="C208" s="295">
        <v>6</v>
      </c>
      <c r="E208" s="94" t="s">
        <v>179</v>
      </c>
      <c r="F208" s="94" t="str">
        <f>"Human Pathology"</f>
        <v>Human Pathology</v>
      </c>
      <c r="G208" s="95">
        <v>6</v>
      </c>
      <c r="H208" s="96"/>
      <c r="I208" s="94" t="s">
        <v>88</v>
      </c>
      <c r="J208" s="94" t="str">
        <f>"Immunology"</f>
        <v>Immunology</v>
      </c>
      <c r="K208" s="95">
        <v>6</v>
      </c>
      <c r="L208" s="96"/>
      <c r="M208" s="268" t="s">
        <v>88</v>
      </c>
      <c r="N208" s="94" t="str">
        <f>"Immunology"</f>
        <v>Immunology</v>
      </c>
      <c r="O208" s="95">
        <v>6</v>
      </c>
      <c r="P208" s="96"/>
    </row>
    <row r="209" spans="1:16" ht="15.75" thickBot="1">
      <c r="A209" s="294" t="s">
        <v>175</v>
      </c>
      <c r="B209" s="295" t="s">
        <v>498</v>
      </c>
      <c r="C209" s="295">
        <v>6</v>
      </c>
      <c r="E209" s="94" t="s">
        <v>88</v>
      </c>
      <c r="F209" s="94" t="str">
        <f>"Immunology"</f>
        <v>Immunology</v>
      </c>
      <c r="G209" s="95">
        <v>6</v>
      </c>
      <c r="H209" s="96"/>
      <c r="I209" s="94" t="s">
        <v>179</v>
      </c>
      <c r="J209" s="94" t="str">
        <f>"Medische Pathologie"</f>
        <v>Medische Pathologie</v>
      </c>
      <c r="K209" s="95">
        <v>6</v>
      </c>
      <c r="L209" s="96"/>
      <c r="M209" s="268" t="s">
        <v>179</v>
      </c>
      <c r="N209" s="94" t="str">
        <f>"Medische Pathologie"</f>
        <v>Medische Pathologie</v>
      </c>
      <c r="O209" s="95">
        <v>6</v>
      </c>
      <c r="P209" s="96"/>
    </row>
    <row r="210" spans="1:16" ht="15.75" thickBot="1">
      <c r="A210" s="294" t="s">
        <v>182</v>
      </c>
      <c r="B210" s="295" t="s">
        <v>499</v>
      </c>
      <c r="C210" s="295">
        <v>6</v>
      </c>
      <c r="E210" s="94" t="s">
        <v>184</v>
      </c>
      <c r="F210" s="94" t="str">
        <f>"Medical Biotechnology"</f>
        <v>Medical Biotechnology</v>
      </c>
      <c r="G210" s="95">
        <v>6</v>
      </c>
      <c r="H210" s="96"/>
      <c r="I210" s="94" t="s">
        <v>92</v>
      </c>
      <c r="J210" s="94" t="str">
        <f>"Molecular Principles of Development"</f>
        <v>Molecular Principles of Development</v>
      </c>
      <c r="K210" s="95">
        <v>6</v>
      </c>
      <c r="L210" s="96"/>
      <c r="M210" s="268" t="s">
        <v>92</v>
      </c>
      <c r="N210" s="94" t="str">
        <f>"Molecular Principles of Development"</f>
        <v>Molecular Principles of Development</v>
      </c>
      <c r="O210" s="95">
        <v>6</v>
      </c>
      <c r="P210" s="96"/>
    </row>
    <row r="211" spans="1:16" ht="15.75" thickBot="1">
      <c r="A211" s="294" t="s">
        <v>176</v>
      </c>
      <c r="B211" s="295" t="s">
        <v>500</v>
      </c>
      <c r="C211" s="295">
        <v>6</v>
      </c>
      <c r="E211" s="94" t="s">
        <v>90</v>
      </c>
      <c r="F211" s="94" t="str">
        <f>"Neurobiofysica"</f>
        <v>Neurobiofysica</v>
      </c>
      <c r="G211" s="95">
        <v>6</v>
      </c>
      <c r="H211" s="96"/>
      <c r="I211" s="94" t="s">
        <v>180</v>
      </c>
      <c r="J211" s="94" t="str">
        <f>"Neurobiologie"</f>
        <v>Neurobiologie</v>
      </c>
      <c r="K211" s="95">
        <v>6</v>
      </c>
      <c r="L211" s="96"/>
      <c r="M211" s="268" t="s">
        <v>180</v>
      </c>
      <c r="N211" s="94" t="str">
        <f>"Neurobiologie"</f>
        <v>Neurobiologie</v>
      </c>
      <c r="O211" s="95">
        <v>6</v>
      </c>
      <c r="P211" s="96"/>
    </row>
    <row r="212" spans="1:16" ht="15.75" thickBot="1">
      <c r="A212" s="294" t="s">
        <v>183</v>
      </c>
      <c r="B212" s="295" t="s">
        <v>501</v>
      </c>
      <c r="C212" s="295">
        <v>6</v>
      </c>
      <c r="E212" s="94" t="s">
        <v>180</v>
      </c>
      <c r="F212" s="94" t="str">
        <f>"Neurobiologie"</f>
        <v>Neurobiologie</v>
      </c>
      <c r="G212" s="95">
        <v>6</v>
      </c>
      <c r="H212" s="96"/>
      <c r="I212" s="94" t="s">
        <v>90</v>
      </c>
      <c r="J212" s="94" t="str">
        <f>"Neurobiofysica"</f>
        <v>Neurobiofysica</v>
      </c>
      <c r="K212" s="95">
        <v>6</v>
      </c>
      <c r="L212" s="96"/>
      <c r="M212" s="268" t="s">
        <v>90</v>
      </c>
      <c r="N212" s="94" t="str">
        <f>"Neurobiofysica"</f>
        <v>Neurobiofysica</v>
      </c>
      <c r="O212" s="95">
        <v>6</v>
      </c>
      <c r="P212" s="96"/>
    </row>
    <row r="213" spans="1:16" ht="24.75" thickBot="1">
      <c r="A213" s="294" t="s">
        <v>181</v>
      </c>
      <c r="B213" s="295" t="s">
        <v>502</v>
      </c>
      <c r="C213" s="295">
        <v>6</v>
      </c>
      <c r="E213" s="94" t="s">
        <v>89</v>
      </c>
      <c r="F213" s="94" t="str">
        <f>"Neurodevelopment"</f>
        <v>Neurodevelopment</v>
      </c>
      <c r="G213" s="95">
        <v>6</v>
      </c>
      <c r="H213" s="96"/>
      <c r="I213" s="94" t="s">
        <v>89</v>
      </c>
      <c r="J213" s="94" t="str">
        <f>"Neurodevelopment"</f>
        <v>Neurodevelopment</v>
      </c>
      <c r="K213" s="95">
        <v>6</v>
      </c>
      <c r="L213" s="96"/>
      <c r="M213" s="268" t="s">
        <v>89</v>
      </c>
      <c r="N213" s="94" t="str">
        <f>"Neurodevelopment"</f>
        <v>Neurodevelopment</v>
      </c>
      <c r="O213" s="95">
        <v>6</v>
      </c>
      <c r="P213" s="96"/>
    </row>
    <row r="214" spans="1:16" ht="15.75" thickBot="1">
      <c r="A214" s="294" t="s">
        <v>174</v>
      </c>
      <c r="B214" s="295" t="s">
        <v>503</v>
      </c>
      <c r="C214" s="295">
        <v>6</v>
      </c>
      <c r="E214" s="94" t="s">
        <v>181</v>
      </c>
      <c r="F214" s="94" t="str">
        <f>"Neurophys. of Cognition and Behaviour"</f>
        <v>Neurophys. of Cognition and Behaviour</v>
      </c>
      <c r="G214" s="95">
        <v>6</v>
      </c>
      <c r="H214" s="96"/>
      <c r="I214" s="94" t="s">
        <v>181</v>
      </c>
      <c r="J214" s="94" t="str">
        <f>"Neurophys. of Cognition and Behaviour"</f>
        <v>Neurophys. of Cognition and Behaviour</v>
      </c>
      <c r="K214" s="95">
        <v>6</v>
      </c>
      <c r="L214" s="96"/>
      <c r="M214" s="268" t="s">
        <v>181</v>
      </c>
      <c r="N214" s="94" t="str">
        <f>"Neurophys. of Cognition and Behaviour"</f>
        <v>Neurophys. of Cognition and Behaviour</v>
      </c>
      <c r="O214" s="95">
        <v>6</v>
      </c>
      <c r="P214" s="96"/>
    </row>
    <row r="215" spans="1:16" ht="15.75" thickBot="1">
      <c r="A215" s="294" t="s">
        <v>92</v>
      </c>
      <c r="B215" s="295" t="s">
        <v>504</v>
      </c>
      <c r="C215" s="295">
        <v>6</v>
      </c>
      <c r="E215" s="94" t="s">
        <v>182</v>
      </c>
      <c r="F215" s="94" t="str">
        <f>"Neuroscience:van Basis tot Kliniek"</f>
        <v>Neuroscience:van Basis tot Kliniek</v>
      </c>
      <c r="G215" s="95">
        <v>6</v>
      </c>
      <c r="H215" s="96"/>
      <c r="I215" s="94" t="s">
        <v>182</v>
      </c>
      <c r="J215" s="94" t="str">
        <f>"Neuroscience:van Basis tot Kliniek"</f>
        <v>Neuroscience:van Basis tot Kliniek</v>
      </c>
      <c r="K215" s="95">
        <v>6</v>
      </c>
      <c r="L215" s="96"/>
      <c r="M215" s="268" t="s">
        <v>182</v>
      </c>
      <c r="N215" s="94" t="str">
        <f>"Neuroscience:van Basis tot Kliniek"</f>
        <v>Neuroscience:van Basis tot Kliniek</v>
      </c>
      <c r="O215" s="95">
        <v>6</v>
      </c>
      <c r="P215" s="96"/>
    </row>
    <row r="216" spans="1:16" ht="15.75" thickBot="1">
      <c r="A216" s="294" t="s">
        <v>177</v>
      </c>
      <c r="B216" s="295" t="s">
        <v>505</v>
      </c>
      <c r="C216" s="295">
        <v>6</v>
      </c>
      <c r="E216" s="94" t="s">
        <v>183</v>
      </c>
      <c r="F216" s="94" t="str">
        <f>"Pathofysiology of the Kidney"</f>
        <v>Pathofysiology of the Kidney</v>
      </c>
      <c r="G216" s="95">
        <v>6</v>
      </c>
      <c r="H216" s="96"/>
      <c r="I216" s="94" t="s">
        <v>183</v>
      </c>
      <c r="J216" s="94" t="str">
        <f>"Pathofysiologie van de Nier"</f>
        <v>Pathofysiologie van de Nier</v>
      </c>
      <c r="K216" s="95">
        <v>6</v>
      </c>
      <c r="L216" s="96"/>
      <c r="M216" s="268" t="s">
        <v>183</v>
      </c>
      <c r="N216" s="94" t="str">
        <f>"Pathofysiologie van de Nier"</f>
        <v>Pathofysiologie van de Nier</v>
      </c>
      <c r="O216" s="95">
        <v>6</v>
      </c>
      <c r="P216" s="96"/>
    </row>
    <row r="217" spans="1:16" ht="15.75" thickBot="1">
      <c r="A217" s="294" t="s">
        <v>506</v>
      </c>
      <c r="B217" s="295" t="s">
        <v>507</v>
      </c>
      <c r="C217" s="295">
        <v>12</v>
      </c>
      <c r="E217" s="94" t="s">
        <v>186</v>
      </c>
      <c r="F217" s="94" t="s">
        <v>400</v>
      </c>
      <c r="G217" s="95">
        <v>12</v>
      </c>
      <c r="H217" s="96"/>
      <c r="I217" s="94" t="s">
        <v>93</v>
      </c>
      <c r="J217" s="94" t="str">
        <f>"Applied Bioinformatics"</f>
        <v>Applied Bioinformatics</v>
      </c>
      <c r="K217" s="95">
        <v>6</v>
      </c>
      <c r="L217" s="96"/>
      <c r="M217" s="268" t="s">
        <v>93</v>
      </c>
      <c r="N217" s="94" t="str">
        <f>"Applied Bioinformatics"</f>
        <v>Applied Bioinformatics</v>
      </c>
      <c r="O217" s="95">
        <v>6</v>
      </c>
      <c r="P217" s="96"/>
    </row>
    <row r="218" spans="1:16" ht="15.75" thickBot="1">
      <c r="A218" s="294" t="s">
        <v>184</v>
      </c>
      <c r="B218" s="295" t="s">
        <v>508</v>
      </c>
      <c r="C218" s="295">
        <v>6</v>
      </c>
      <c r="E218" s="64" t="s">
        <v>45</v>
      </c>
      <c r="F218" s="51"/>
      <c r="G218" s="52"/>
      <c r="H218" s="65"/>
      <c r="I218" s="94" t="s">
        <v>184</v>
      </c>
      <c r="J218" s="94" t="str">
        <f>"Medical Biotechnology"</f>
        <v>Medical Biotechnology</v>
      </c>
      <c r="K218" s="95">
        <v>6</v>
      </c>
      <c r="L218" s="96"/>
      <c r="M218" s="268" t="s">
        <v>185</v>
      </c>
      <c r="N218" s="94" t="str">
        <f>"Medische Biotechnologie"</f>
        <v>Medische Biotechnologie</v>
      </c>
      <c r="O218" s="95">
        <v>6</v>
      </c>
      <c r="P218" s="96"/>
    </row>
    <row r="219" spans="1:16" ht="15.75" thickBot="1">
      <c r="A219" s="294" t="s">
        <v>186</v>
      </c>
      <c r="B219" s="295" t="s">
        <v>509</v>
      </c>
      <c r="C219" s="295">
        <v>12</v>
      </c>
      <c r="E219" s="115"/>
      <c r="H219" s="112"/>
      <c r="I219" s="94" t="s">
        <v>186</v>
      </c>
      <c r="J219" s="94" t="s">
        <v>400</v>
      </c>
      <c r="K219" s="95">
        <v>12</v>
      </c>
      <c r="L219" s="96"/>
      <c r="M219" s="106" t="s">
        <v>45</v>
      </c>
      <c r="N219" s="107"/>
      <c r="O219" s="60"/>
      <c r="P219" s="65"/>
    </row>
    <row r="220" spans="1:16">
      <c r="A220" s="64" t="s">
        <v>45</v>
      </c>
      <c r="B220" s="51"/>
      <c r="C220" s="52"/>
      <c r="E220" s="115"/>
      <c r="H220" s="112"/>
      <c r="I220" s="64" t="s">
        <v>45</v>
      </c>
      <c r="J220" s="51"/>
      <c r="K220" s="52"/>
      <c r="L220" s="65"/>
      <c r="M220" s="103"/>
      <c r="N220" s="54"/>
      <c r="O220" s="57"/>
      <c r="P220" s="69"/>
    </row>
    <row r="221" spans="1:16" ht="23.25">
      <c r="A221" s="56" t="s">
        <v>187</v>
      </c>
      <c r="B221" s="54"/>
      <c r="C221" s="57"/>
      <c r="E221" s="296" t="s">
        <v>555</v>
      </c>
      <c r="F221" s="54"/>
      <c r="G221" s="57"/>
    </row>
    <row r="222" spans="1:16">
      <c r="A222" s="59" t="s">
        <v>484</v>
      </c>
      <c r="B222" s="54"/>
      <c r="C222" s="57"/>
      <c r="E222" s="59" t="s">
        <v>401</v>
      </c>
      <c r="F222" s="54"/>
      <c r="G222" s="57"/>
      <c r="H222" s="112"/>
    </row>
    <row r="223" spans="1:16">
      <c r="A223" s="269" t="s">
        <v>402</v>
      </c>
      <c r="B223" s="270" t="s">
        <v>403</v>
      </c>
      <c r="C223" s="221">
        <v>6</v>
      </c>
      <c r="D223" s="65" t="s">
        <v>44</v>
      </c>
      <c r="E223" s="269" t="s">
        <v>404</v>
      </c>
      <c r="F223" s="270" t="s">
        <v>405</v>
      </c>
      <c r="G223" s="221">
        <v>6</v>
      </c>
      <c r="H223" s="65" t="s">
        <v>44</v>
      </c>
    </row>
    <row r="224" spans="1:16">
      <c r="A224" s="269" t="s">
        <v>406</v>
      </c>
      <c r="B224" s="270" t="s">
        <v>407</v>
      </c>
      <c r="C224" s="221">
        <v>6</v>
      </c>
      <c r="D224" s="65" t="s">
        <v>44</v>
      </c>
      <c r="E224" s="269" t="s">
        <v>408</v>
      </c>
      <c r="F224" s="270" t="s">
        <v>409</v>
      </c>
      <c r="G224" s="221">
        <v>6</v>
      </c>
      <c r="H224" s="65" t="s">
        <v>44</v>
      </c>
    </row>
    <row r="225" spans="1:8">
      <c r="A225" s="269" t="s">
        <v>410</v>
      </c>
      <c r="B225" s="270" t="s">
        <v>411</v>
      </c>
      <c r="C225" s="221">
        <v>3</v>
      </c>
      <c r="D225" s="65" t="s">
        <v>44</v>
      </c>
      <c r="E225" s="269" t="s">
        <v>412</v>
      </c>
      <c r="F225" s="270" t="s">
        <v>413</v>
      </c>
      <c r="G225" s="221">
        <v>6</v>
      </c>
      <c r="H225" s="65" t="s">
        <v>44</v>
      </c>
    </row>
    <row r="226" spans="1:8">
      <c r="A226" s="269" t="s">
        <v>414</v>
      </c>
      <c r="B226" s="270" t="s">
        <v>415</v>
      </c>
      <c r="C226" s="221">
        <v>4</v>
      </c>
      <c r="D226" s="65" t="s">
        <v>44</v>
      </c>
      <c r="E226" s="269" t="s">
        <v>416</v>
      </c>
      <c r="F226" s="270" t="s">
        <v>417</v>
      </c>
      <c r="G226" s="221">
        <v>6</v>
      </c>
      <c r="H226" s="65" t="s">
        <v>44</v>
      </c>
    </row>
    <row r="227" spans="1:8">
      <c r="A227" s="269" t="s">
        <v>418</v>
      </c>
      <c r="B227" s="270" t="s">
        <v>419</v>
      </c>
      <c r="C227" s="221">
        <v>3</v>
      </c>
      <c r="D227" s="65" t="s">
        <v>44</v>
      </c>
      <c r="E227" s="269" t="s">
        <v>420</v>
      </c>
      <c r="F227" s="270" t="s">
        <v>421</v>
      </c>
      <c r="G227" s="221">
        <v>6</v>
      </c>
      <c r="H227" s="65" t="s">
        <v>44</v>
      </c>
    </row>
    <row r="228" spans="1:8">
      <c r="A228" s="228" t="s">
        <v>422</v>
      </c>
      <c r="B228" s="228" t="s">
        <v>423</v>
      </c>
      <c r="C228" s="221">
        <v>6</v>
      </c>
      <c r="D228" s="65" t="s">
        <v>44</v>
      </c>
      <c r="E228" s="64" t="s">
        <v>45</v>
      </c>
      <c r="F228" s="51"/>
      <c r="G228" s="52"/>
      <c r="H228" s="65"/>
    </row>
    <row r="229" spans="1:8">
      <c r="A229" s="228" t="s">
        <v>424</v>
      </c>
      <c r="B229" s="228" t="s">
        <v>425</v>
      </c>
      <c r="C229" s="221">
        <v>2</v>
      </c>
      <c r="D229" s="65" t="s">
        <v>44</v>
      </c>
      <c r="E229" s="228"/>
      <c r="F229" s="228"/>
      <c r="G229" s="221"/>
      <c r="H229" s="65"/>
    </row>
    <row r="230" spans="1:8">
      <c r="A230" s="228" t="s">
        <v>426</v>
      </c>
      <c r="B230" s="228" t="s">
        <v>427</v>
      </c>
      <c r="C230" s="221">
        <v>0</v>
      </c>
      <c r="D230" s="65" t="s">
        <v>44</v>
      </c>
      <c r="E230" s="228"/>
      <c r="F230" s="228"/>
      <c r="G230" s="221"/>
      <c r="H230" s="65"/>
    </row>
    <row r="231" spans="1:8">
      <c r="A231" s="64" t="s">
        <v>45</v>
      </c>
      <c r="B231" s="51"/>
      <c r="C231" s="52"/>
      <c r="D231" s="65"/>
      <c r="E231" s="77"/>
      <c r="G231" s="77"/>
      <c r="H231" s="93"/>
    </row>
    <row r="232" spans="1:8" ht="23.25">
      <c r="A232" s="109" t="s">
        <v>31</v>
      </c>
      <c r="B232" s="51"/>
      <c r="C232" s="52"/>
      <c r="D232" s="65"/>
      <c r="E232" s="296" t="s">
        <v>556</v>
      </c>
      <c r="F232" s="76"/>
      <c r="G232" s="104"/>
      <c r="H232" s="108"/>
    </row>
    <row r="233" spans="1:8">
      <c r="A233" s="64" t="s">
        <v>55</v>
      </c>
      <c r="B233" s="51"/>
      <c r="C233" s="52"/>
      <c r="D233" s="65"/>
      <c r="E233" s="59" t="s">
        <v>443</v>
      </c>
      <c r="F233" s="54"/>
      <c r="G233" s="57"/>
      <c r="H233" s="112"/>
    </row>
    <row r="234" spans="1:8">
      <c r="A234" s="51" t="s">
        <v>189</v>
      </c>
      <c r="B234" s="51" t="str">
        <f>"Speciale Relativiteitstheorie"</f>
        <v>Speciale Relativiteitstheorie</v>
      </c>
      <c r="C234" s="52">
        <v>3</v>
      </c>
      <c r="D234" s="65" t="s">
        <v>44</v>
      </c>
      <c r="E234" s="328" t="s">
        <v>448</v>
      </c>
      <c r="F234" s="329"/>
      <c r="G234" s="330"/>
      <c r="H234" s="282"/>
    </row>
    <row r="235" spans="1:8">
      <c r="A235" s="51" t="s">
        <v>190</v>
      </c>
      <c r="B235" s="51" t="str">
        <f>"Fysisch Practicum"</f>
        <v>Fysisch Practicum</v>
      </c>
      <c r="C235" s="52">
        <v>6</v>
      </c>
      <c r="D235" s="65" t="s">
        <v>44</v>
      </c>
      <c r="E235" s="328"/>
      <c r="F235" s="329"/>
      <c r="G235" s="330"/>
      <c r="H235" s="263"/>
    </row>
    <row r="236" spans="1:8">
      <c r="A236" s="51" t="s">
        <v>191</v>
      </c>
      <c r="B236" s="51" t="str">
        <f>"Inl. Nanowet. en Technol."</f>
        <v>Inl. Nanowet. en Technol.</v>
      </c>
      <c r="C236" s="52">
        <v>3</v>
      </c>
      <c r="D236" s="65" t="s">
        <v>44</v>
      </c>
      <c r="E236" s="61" t="s">
        <v>45</v>
      </c>
      <c r="F236" s="62"/>
      <c r="G236" s="63"/>
      <c r="H236" s="244"/>
    </row>
    <row r="237" spans="1:8">
      <c r="A237" s="51" t="s">
        <v>192</v>
      </c>
      <c r="B237" s="51" t="str">
        <f>"Nanofysica"</f>
        <v>Nanofysica</v>
      </c>
      <c r="C237" s="52">
        <v>3</v>
      </c>
      <c r="D237" s="65" t="s">
        <v>44</v>
      </c>
      <c r="E237" s="103"/>
      <c r="F237" s="76"/>
      <c r="G237" s="104"/>
      <c r="H237" s="108"/>
    </row>
    <row r="238" spans="1:8">
      <c r="A238" s="51" t="s">
        <v>193</v>
      </c>
      <c r="B238" s="51" t="str">
        <f>"SdM: Atoom- en Molecuulfysica"</f>
        <v>SdM: Atoom- en Molecuulfysica</v>
      </c>
      <c r="C238" s="52">
        <v>3</v>
      </c>
      <c r="D238" s="65" t="s">
        <v>44</v>
      </c>
      <c r="E238" s="103"/>
      <c r="F238" s="76"/>
      <c r="G238" s="104"/>
      <c r="H238" s="108"/>
    </row>
    <row r="239" spans="1:8">
      <c r="A239" s="51" t="s">
        <v>194</v>
      </c>
      <c r="B239" s="51" t="str">
        <f>"SdM:Vaste stoffysica"</f>
        <v>SdM:Vaste stoffysica</v>
      </c>
      <c r="C239" s="52">
        <v>3</v>
      </c>
      <c r="D239" s="65" t="s">
        <v>44</v>
      </c>
      <c r="E239" s="103"/>
      <c r="F239" s="76"/>
      <c r="G239" s="104"/>
      <c r="H239" s="108"/>
    </row>
    <row r="240" spans="1:8">
      <c r="A240" s="51" t="s">
        <v>58</v>
      </c>
      <c r="B240" s="51" t="str">
        <f>"Elektronica"</f>
        <v>Elektronica</v>
      </c>
      <c r="C240" s="52">
        <v>3</v>
      </c>
      <c r="D240" s="65" t="s">
        <v>44</v>
      </c>
      <c r="E240" s="103"/>
      <c r="F240" s="76"/>
      <c r="G240" s="104"/>
      <c r="H240" s="108"/>
    </row>
    <row r="241" spans="1:12">
      <c r="A241" s="64" t="s">
        <v>45</v>
      </c>
      <c r="B241" s="51"/>
      <c r="C241" s="52"/>
      <c r="D241" s="65"/>
      <c r="E241" s="103"/>
      <c r="F241" s="76"/>
      <c r="G241" s="104"/>
      <c r="H241" s="108"/>
    </row>
    <row r="242" spans="1:12" ht="23.25">
      <c r="A242" s="56" t="s">
        <v>195</v>
      </c>
      <c r="B242" s="54"/>
      <c r="C242" s="57"/>
      <c r="E242" s="296" t="s">
        <v>557</v>
      </c>
      <c r="F242" s="76"/>
      <c r="G242" s="104"/>
      <c r="H242" s="108"/>
    </row>
    <row r="243" spans="1:12">
      <c r="A243" s="59" t="s">
        <v>477</v>
      </c>
      <c r="B243" s="54"/>
      <c r="C243" s="57"/>
      <c r="E243" s="59" t="s">
        <v>440</v>
      </c>
      <c r="F243" s="54"/>
      <c r="G243" s="57"/>
      <c r="H243" s="112"/>
      <c r="I243" s="103">
        <v>2014</v>
      </c>
      <c r="J243" s="76"/>
      <c r="K243" s="104"/>
      <c r="L243" s="108"/>
    </row>
    <row r="244" spans="1:12">
      <c r="A244" s="51" t="s">
        <v>61</v>
      </c>
      <c r="B244" s="51" t="str">
        <f>"Neurofysica 1"</f>
        <v>Neurofysica 1</v>
      </c>
      <c r="C244" s="52">
        <v>3</v>
      </c>
      <c r="D244" s="65" t="s">
        <v>44</v>
      </c>
      <c r="E244" s="51" t="s">
        <v>61</v>
      </c>
      <c r="F244" s="51" t="str">
        <f>"Neurofysica 1"</f>
        <v>Neurofysica 1</v>
      </c>
      <c r="G244" s="52">
        <v>3</v>
      </c>
      <c r="H244" s="65" t="s">
        <v>44</v>
      </c>
      <c r="I244" s="271" t="s">
        <v>162</v>
      </c>
      <c r="J244" s="51" t="str">
        <f>"Inleiding Statistiek"</f>
        <v>Inleiding Statistiek</v>
      </c>
      <c r="K244" s="52">
        <v>3</v>
      </c>
      <c r="L244" s="65" t="s">
        <v>44</v>
      </c>
    </row>
    <row r="245" spans="1:12">
      <c r="A245" s="51" t="s">
        <v>196</v>
      </c>
      <c r="B245" s="51" t="str">
        <f>"Neurofysica 2"</f>
        <v>Neurofysica 2</v>
      </c>
      <c r="C245" s="52">
        <v>3</v>
      </c>
      <c r="D245" s="65" t="s">
        <v>44</v>
      </c>
      <c r="E245" s="51" t="s">
        <v>196</v>
      </c>
      <c r="F245" s="51" t="str">
        <f>"Neurofysica 2"</f>
        <v>Neurofysica 2</v>
      </c>
      <c r="G245" s="52">
        <v>3</v>
      </c>
      <c r="H245" s="65" t="s">
        <v>44</v>
      </c>
      <c r="I245" s="271" t="s">
        <v>200</v>
      </c>
      <c r="J245" s="51" t="str">
        <f>"Warmteleer"</f>
        <v>Warmteleer</v>
      </c>
      <c r="K245" s="52">
        <v>3</v>
      </c>
      <c r="L245" s="65" t="s">
        <v>44</v>
      </c>
    </row>
    <row r="246" spans="1:12">
      <c r="A246" s="51" t="s">
        <v>197</v>
      </c>
      <c r="B246" s="51" t="str">
        <f>"Inleiding Machine Learning"</f>
        <v>Inleiding Machine Learning</v>
      </c>
      <c r="C246" s="52">
        <v>3</v>
      </c>
      <c r="D246" s="65" t="s">
        <v>44</v>
      </c>
      <c r="E246" s="51" t="s">
        <v>197</v>
      </c>
      <c r="F246" s="51" t="str">
        <f>"Inleiding Machine Learning"</f>
        <v>Inleiding Machine Learning</v>
      </c>
      <c r="G246" s="52">
        <v>3</v>
      </c>
      <c r="H246" s="65" t="s">
        <v>44</v>
      </c>
      <c r="I246" s="271" t="s">
        <v>232</v>
      </c>
      <c r="J246" s="51" t="str">
        <f>"Statistische Mechanica"</f>
        <v>Statistische Mechanica</v>
      </c>
      <c r="K246" s="52">
        <v>6</v>
      </c>
      <c r="L246" s="65" t="s">
        <v>44</v>
      </c>
    </row>
    <row r="247" spans="1:12">
      <c r="A247" s="51" t="s">
        <v>198</v>
      </c>
      <c r="B247" s="51" t="str">
        <f>"Psychofysica 1"</f>
        <v>Psychofysica 1</v>
      </c>
      <c r="C247" s="52">
        <v>3</v>
      </c>
      <c r="D247" s="65" t="s">
        <v>44</v>
      </c>
      <c r="E247" s="51" t="s">
        <v>198</v>
      </c>
      <c r="F247" s="51" t="str">
        <f>"Psychofysica 1"</f>
        <v>Psychofysica 1</v>
      </c>
      <c r="G247" s="52">
        <v>3</v>
      </c>
      <c r="H247" s="65" t="s">
        <v>44</v>
      </c>
      <c r="I247" s="271" t="s">
        <v>213</v>
      </c>
      <c r="J247" s="51" t="str">
        <f>"Analytische Mechanica"</f>
        <v>Analytische Mechanica</v>
      </c>
      <c r="K247" s="52">
        <v>3</v>
      </c>
      <c r="L247" s="65" t="s">
        <v>44</v>
      </c>
    </row>
    <row r="248" spans="1:12">
      <c r="A248" s="51" t="s">
        <v>199</v>
      </c>
      <c r="B248" s="51" t="str">
        <f>"Nonlinear Dynamics,Chaos and Application"</f>
        <v>Nonlinear Dynamics,Chaos and Application</v>
      </c>
      <c r="C248" s="52">
        <v>3</v>
      </c>
      <c r="D248" s="65" t="s">
        <v>44</v>
      </c>
      <c r="E248" s="51" t="s">
        <v>199</v>
      </c>
      <c r="F248" s="51" t="str">
        <f>"Nonlinear Dynamics,Chaos and Application"</f>
        <v>Nonlinear Dynamics,Chaos and Application</v>
      </c>
      <c r="G248" s="52">
        <v>3</v>
      </c>
      <c r="H248" s="65" t="s">
        <v>44</v>
      </c>
      <c r="I248" s="271" t="s">
        <v>233</v>
      </c>
      <c r="J248" s="51" t="str">
        <f>"Inleiding Fouriertheorie"</f>
        <v>Inleiding Fouriertheorie</v>
      </c>
      <c r="K248" s="52">
        <v>3</v>
      </c>
      <c r="L248" s="65" t="s">
        <v>44</v>
      </c>
    </row>
    <row r="249" spans="1:12">
      <c r="A249" s="107" t="s">
        <v>203</v>
      </c>
      <c r="B249" s="107" t="str">
        <f>"Electricity and Magnetism 1A"</f>
        <v>Electricity and Magnetism 1A</v>
      </c>
      <c r="C249" s="60">
        <v>3</v>
      </c>
      <c r="D249" s="112" t="s">
        <v>44</v>
      </c>
      <c r="E249" s="64" t="s">
        <v>6</v>
      </c>
      <c r="F249" s="184" t="s">
        <v>46</v>
      </c>
      <c r="G249" s="52"/>
      <c r="H249" s="65"/>
      <c r="I249" s="271" t="s">
        <v>229</v>
      </c>
      <c r="J249" s="51" t="str">
        <f>"Toegepaste Stochastiek"</f>
        <v>Toegepaste Stochastiek</v>
      </c>
      <c r="K249" s="52">
        <v>6</v>
      </c>
      <c r="L249" s="65" t="s">
        <v>44</v>
      </c>
    </row>
    <row r="250" spans="1:12">
      <c r="A250" s="64" t="s">
        <v>6</v>
      </c>
      <c r="B250" s="184" t="s">
        <v>46</v>
      </c>
      <c r="C250" s="52"/>
      <c r="E250" s="66" t="s">
        <v>200</v>
      </c>
      <c r="F250" s="66" t="str">
        <f>"Warmteleer"</f>
        <v>Warmteleer</v>
      </c>
      <c r="G250" s="67">
        <v>3</v>
      </c>
      <c r="H250" s="68"/>
      <c r="I250" s="271" t="s">
        <v>197</v>
      </c>
      <c r="J250" s="51" t="str">
        <f>"Inleiding Machine Learning"</f>
        <v>Inleiding Machine Learning</v>
      </c>
      <c r="K250" s="52">
        <v>3</v>
      </c>
      <c r="L250" s="65" t="s">
        <v>44</v>
      </c>
    </row>
    <row r="251" spans="1:12">
      <c r="A251" s="66" t="s">
        <v>200</v>
      </c>
      <c r="B251" s="66" t="str">
        <f>"Warmteleer"</f>
        <v>Warmteleer</v>
      </c>
      <c r="C251" s="67">
        <v>3</v>
      </c>
      <c r="E251" s="66" t="s">
        <v>201</v>
      </c>
      <c r="F251" s="66" t="str">
        <f>"Thermodynamics"</f>
        <v>Thermodynamics</v>
      </c>
      <c r="G251" s="67">
        <v>3</v>
      </c>
      <c r="H251" s="68"/>
      <c r="I251" s="271" t="s">
        <v>61</v>
      </c>
      <c r="J251" s="51" t="str">
        <f>"Neurofysica 1"</f>
        <v>Neurofysica 1</v>
      </c>
      <c r="K251" s="52">
        <v>3</v>
      </c>
      <c r="L251" s="65" t="s">
        <v>44</v>
      </c>
    </row>
    <row r="252" spans="1:12">
      <c r="A252" s="66" t="s">
        <v>201</v>
      </c>
      <c r="B252" s="66" t="str">
        <f>"Thermodynamics"</f>
        <v>Thermodynamics</v>
      </c>
      <c r="C252" s="67">
        <v>3</v>
      </c>
      <c r="E252" s="64" t="s">
        <v>6</v>
      </c>
      <c r="F252" s="184" t="s">
        <v>46</v>
      </c>
      <c r="G252" s="52"/>
      <c r="H252" s="65"/>
      <c r="I252" s="61" t="s">
        <v>45</v>
      </c>
      <c r="J252" s="54"/>
      <c r="K252" s="57"/>
      <c r="L252" s="112"/>
    </row>
    <row r="253" spans="1:12">
      <c r="A253" s="64" t="s">
        <v>45</v>
      </c>
      <c r="E253" s="66" t="s">
        <v>202</v>
      </c>
      <c r="F253" s="66" t="str">
        <f>"Elektriciteit en Magnetisme 1B"</f>
        <v>Elektriciteit en Magnetisme 1B</v>
      </c>
      <c r="G253" s="67">
        <v>3</v>
      </c>
      <c r="H253" s="68"/>
      <c r="I253" s="103"/>
      <c r="J253" s="54"/>
      <c r="K253" s="57"/>
      <c r="L253" s="69"/>
    </row>
    <row r="254" spans="1:12">
      <c r="E254" s="66" t="s">
        <v>203</v>
      </c>
      <c r="F254" s="66" t="str">
        <f>"Electricity and Magnetism 1A"</f>
        <v>Electricity and Magnetism 1A</v>
      </c>
      <c r="G254" s="67">
        <v>3</v>
      </c>
      <c r="H254" s="68"/>
      <c r="I254" s="103"/>
      <c r="J254" s="54"/>
      <c r="K254" s="57"/>
      <c r="L254" s="69"/>
    </row>
    <row r="255" spans="1:12">
      <c r="E255" s="64" t="s">
        <v>45</v>
      </c>
      <c r="F255" s="51"/>
      <c r="G255" s="52"/>
      <c r="H255" s="65"/>
      <c r="I255" s="103"/>
      <c r="J255" s="54"/>
      <c r="K255" s="57"/>
      <c r="L255" s="69"/>
    </row>
    <row r="256" spans="1:12" ht="23.25">
      <c r="A256" s="56" t="s">
        <v>204</v>
      </c>
      <c r="B256" s="54"/>
      <c r="C256" s="57"/>
      <c r="E256" s="296" t="s">
        <v>558</v>
      </c>
      <c r="F256" s="54"/>
      <c r="G256" s="57"/>
    </row>
    <row r="257" spans="1:8">
      <c r="A257" s="64" t="s">
        <v>487</v>
      </c>
      <c r="B257" s="51"/>
      <c r="C257" s="52"/>
      <c r="D257" s="65"/>
      <c r="E257" s="59" t="s">
        <v>43</v>
      </c>
      <c r="F257" s="54"/>
      <c r="G257" s="57"/>
      <c r="H257" s="112"/>
    </row>
    <row r="258" spans="1:8">
      <c r="A258" s="51" t="s">
        <v>61</v>
      </c>
      <c r="B258" s="51" t="str">
        <f>"Neurofysica 1"</f>
        <v>Neurofysica 1</v>
      </c>
      <c r="C258" s="52">
        <v>3</v>
      </c>
      <c r="D258" s="65" t="s">
        <v>44</v>
      </c>
      <c r="E258" s="113" t="s">
        <v>227</v>
      </c>
      <c r="F258" s="51" t="str">
        <f>"Voortgezette Kansrekening"</f>
        <v>Voortgezette Kansrekening</v>
      </c>
      <c r="G258" s="52">
        <v>3</v>
      </c>
      <c r="H258" s="65" t="s">
        <v>44</v>
      </c>
    </row>
    <row r="259" spans="1:8">
      <c r="A259" s="51" t="s">
        <v>196</v>
      </c>
      <c r="B259" s="51" t="str">
        <f>"Neurofysica 2"</f>
        <v>Neurofysica 2</v>
      </c>
      <c r="C259" s="52">
        <v>3</v>
      </c>
      <c r="D259" s="65" t="s">
        <v>44</v>
      </c>
      <c r="E259" s="113" t="s">
        <v>61</v>
      </c>
      <c r="F259" s="51" t="str">
        <f>"Neurofysica 1"</f>
        <v>Neurofysica 1</v>
      </c>
      <c r="G259" s="52">
        <v>3</v>
      </c>
      <c r="H259" s="65" t="s">
        <v>44</v>
      </c>
    </row>
    <row r="260" spans="1:8">
      <c r="A260" s="51" t="s">
        <v>197</v>
      </c>
      <c r="B260" s="51" t="str">
        <f>"Inleiding Machine Learning"</f>
        <v>Inleiding Machine Learning</v>
      </c>
      <c r="C260" s="52">
        <v>3</v>
      </c>
      <c r="D260" s="65" t="s">
        <v>44</v>
      </c>
      <c r="E260" s="113" t="s">
        <v>196</v>
      </c>
      <c r="F260" s="51" t="str">
        <f>"Neurofysica 2"</f>
        <v>Neurofysica 2</v>
      </c>
      <c r="G260" s="52">
        <v>3</v>
      </c>
      <c r="H260" s="65" t="s">
        <v>44</v>
      </c>
    </row>
    <row r="261" spans="1:8">
      <c r="A261" s="51" t="s">
        <v>198</v>
      </c>
      <c r="B261" s="51" t="str">
        <f>"Psychofysica 1"</f>
        <v>Psychofysica 1</v>
      </c>
      <c r="C261" s="52">
        <v>3</v>
      </c>
      <c r="D261" s="65" t="s">
        <v>44</v>
      </c>
      <c r="E261" s="113" t="s">
        <v>228</v>
      </c>
      <c r="F261" s="51" t="str">
        <f>"Introduction to Magnetic Resonance"</f>
        <v>Introduction to Magnetic Resonance</v>
      </c>
      <c r="G261" s="52">
        <v>3</v>
      </c>
      <c r="H261" s="65" t="s">
        <v>44</v>
      </c>
    </row>
    <row r="262" spans="1:8">
      <c r="A262" s="51" t="s">
        <v>199</v>
      </c>
      <c r="B262" s="51" t="str">
        <f>"Nonlinear Dynamics,Chaos and Application"</f>
        <v>Nonlinear Dynamics,Chaos and Application</v>
      </c>
      <c r="C262" s="52">
        <v>3</v>
      </c>
      <c r="D262" s="65" t="s">
        <v>44</v>
      </c>
      <c r="E262" s="113" t="s">
        <v>197</v>
      </c>
      <c r="F262" s="51" t="str">
        <f>"Inleiding Machine Learning"</f>
        <v>Inleiding Machine Learning</v>
      </c>
      <c r="G262" s="52">
        <v>3</v>
      </c>
      <c r="H262" s="65" t="s">
        <v>44</v>
      </c>
    </row>
    <row r="263" spans="1:8">
      <c r="A263" s="64" t="s">
        <v>45</v>
      </c>
      <c r="B263" s="237"/>
      <c r="C263" s="92"/>
      <c r="D263" s="65"/>
      <c r="E263" s="113" t="s">
        <v>229</v>
      </c>
      <c r="F263" s="51" t="str">
        <f>"Toegepaste Stochastiek"</f>
        <v>Toegepaste Stochastiek</v>
      </c>
      <c r="G263" s="52">
        <v>6</v>
      </c>
      <c r="H263" s="65" t="s">
        <v>44</v>
      </c>
    </row>
    <row r="264" spans="1:8">
      <c r="A264" s="237"/>
      <c r="B264" s="237"/>
      <c r="C264" s="92"/>
      <c r="D264" s="65"/>
      <c r="E264" s="113" t="s">
        <v>230</v>
      </c>
      <c r="F264" s="51" t="str">
        <f>"Inleiding in de Neuroimaging Technieken"</f>
        <v>Inleiding in de Neuroimaging Technieken</v>
      </c>
      <c r="G264" s="52">
        <v>3</v>
      </c>
      <c r="H264" s="65" t="s">
        <v>44</v>
      </c>
    </row>
    <row r="265" spans="1:8">
      <c r="A265" s="237"/>
      <c r="B265" s="237"/>
      <c r="C265" s="92"/>
      <c r="D265" s="65"/>
      <c r="E265" s="113" t="s">
        <v>199</v>
      </c>
      <c r="F265" s="51" t="str">
        <f>"Nonlinear Dynamics,Chaos and Application"</f>
        <v>Nonlinear Dynamics,Chaos and Application</v>
      </c>
      <c r="G265" s="52">
        <v>3</v>
      </c>
      <c r="H265" s="65" t="s">
        <v>44</v>
      </c>
    </row>
    <row r="266" spans="1:8">
      <c r="A266" s="237"/>
      <c r="B266" s="237"/>
      <c r="C266" s="92"/>
      <c r="D266" s="65"/>
      <c r="E266" s="64" t="s">
        <v>6</v>
      </c>
      <c r="F266" s="184" t="s">
        <v>46</v>
      </c>
      <c r="G266" s="52"/>
      <c r="H266" s="65"/>
    </row>
    <row r="267" spans="1:8">
      <c r="A267" s="237"/>
      <c r="B267" s="237"/>
      <c r="C267" s="92"/>
      <c r="D267" s="65"/>
      <c r="E267" s="114" t="s">
        <v>162</v>
      </c>
      <c r="F267" s="66" t="str">
        <f>"Inleiding Statistiek"</f>
        <v>Inleiding Statistiek</v>
      </c>
      <c r="G267" s="67">
        <v>3</v>
      </c>
      <c r="H267" s="68"/>
    </row>
    <row r="268" spans="1:8">
      <c r="A268" s="237"/>
      <c r="B268" s="237"/>
      <c r="C268" s="92"/>
      <c r="D268" s="65"/>
      <c r="E268" s="114" t="s">
        <v>198</v>
      </c>
      <c r="F268" s="66" t="str">
        <f>"Psychofysica 1"</f>
        <v>Psychofysica 1</v>
      </c>
      <c r="G268" s="67">
        <v>3</v>
      </c>
      <c r="H268" s="68"/>
    </row>
    <row r="269" spans="1:8">
      <c r="A269" s="237"/>
      <c r="B269" s="237"/>
      <c r="C269" s="92"/>
      <c r="D269" s="65"/>
      <c r="E269" s="114" t="s">
        <v>231</v>
      </c>
      <c r="F269" s="66" t="str">
        <f>"Auditory Perception and Technology"</f>
        <v>Auditory Perception and Technology</v>
      </c>
      <c r="G269" s="67">
        <v>3</v>
      </c>
      <c r="H269" s="68"/>
    </row>
    <row r="270" spans="1:8">
      <c r="A270" s="237"/>
      <c r="B270" s="237"/>
      <c r="C270" s="92"/>
      <c r="D270" s="65"/>
      <c r="E270" s="260"/>
      <c r="F270" s="261" t="s">
        <v>428</v>
      </c>
      <c r="G270" s="262"/>
      <c r="H270" s="263"/>
    </row>
    <row r="271" spans="1:8">
      <c r="A271" s="64"/>
      <c r="B271" s="51"/>
      <c r="C271" s="52"/>
      <c r="D271" s="65"/>
      <c r="E271" s="61" t="s">
        <v>45</v>
      </c>
      <c r="F271" s="62"/>
      <c r="G271" s="63"/>
      <c r="H271" s="244"/>
    </row>
    <row r="272" spans="1:8" ht="23.25">
      <c r="A272" s="56" t="s">
        <v>205</v>
      </c>
      <c r="B272" s="54"/>
      <c r="C272" s="57"/>
      <c r="E272" s="296" t="s">
        <v>559</v>
      </c>
      <c r="F272" s="54"/>
      <c r="G272" s="57"/>
    </row>
    <row r="273" spans="1:12">
      <c r="A273" s="59" t="s">
        <v>485</v>
      </c>
      <c r="B273" s="54"/>
      <c r="C273" s="57"/>
      <c r="E273" s="59" t="s">
        <v>55</v>
      </c>
      <c r="F273" s="54"/>
      <c r="G273" s="57"/>
      <c r="H273" s="112"/>
      <c r="I273" s="59" t="s">
        <v>43</v>
      </c>
      <c r="J273" s="54"/>
      <c r="K273" s="57"/>
      <c r="L273" s="112"/>
    </row>
    <row r="274" spans="1:12">
      <c r="A274" s="51" t="s">
        <v>95</v>
      </c>
      <c r="B274" s="51" t="str">
        <f>"Essentials of Organic Chemistry"</f>
        <v>Essentials of Organic Chemistry</v>
      </c>
      <c r="C274" s="52">
        <v>6</v>
      </c>
      <c r="D274" s="65" t="s">
        <v>44</v>
      </c>
      <c r="E274" s="51" t="s">
        <v>95</v>
      </c>
      <c r="F274" s="51" t="str">
        <f>"Essentials of Organic Chemistry"</f>
        <v>Essentials of Organic Chemistry</v>
      </c>
      <c r="G274" s="52">
        <v>6</v>
      </c>
      <c r="H274" s="65" t="s">
        <v>44</v>
      </c>
      <c r="I274" s="51" t="s">
        <v>95</v>
      </c>
      <c r="J274" s="51" t="str">
        <f>"Essentials of Organic Chemistry"</f>
        <v>Essentials of Organic Chemistry</v>
      </c>
      <c r="K274" s="52">
        <v>6</v>
      </c>
      <c r="L274" s="65" t="s">
        <v>44</v>
      </c>
    </row>
    <row r="275" spans="1:12">
      <c r="A275" s="51" t="s">
        <v>207</v>
      </c>
      <c r="B275" s="51" t="s">
        <v>451</v>
      </c>
      <c r="C275" s="52">
        <v>3</v>
      </c>
      <c r="D275" s="65" t="s">
        <v>44</v>
      </c>
      <c r="E275" s="51" t="s">
        <v>206</v>
      </c>
      <c r="F275" s="51" t="str">
        <f>"Magnetic Resonance"</f>
        <v>Magnetic Resonance</v>
      </c>
      <c r="G275" s="52">
        <v>6</v>
      </c>
      <c r="H275" s="65" t="s">
        <v>44</v>
      </c>
      <c r="I275" s="51" t="s">
        <v>12</v>
      </c>
      <c r="J275" s="51" t="str">
        <f>"Thermodynamica 2"</f>
        <v>Thermodynamica 2</v>
      </c>
      <c r="K275" s="52">
        <v>3</v>
      </c>
      <c r="L275" s="65" t="s">
        <v>44</v>
      </c>
    </row>
    <row r="276" spans="1:12">
      <c r="A276" s="51" t="s">
        <v>97</v>
      </c>
      <c r="B276" s="51" t="str">
        <f>"Physical Organic Chemistry"</f>
        <v>Physical Organic Chemistry</v>
      </c>
      <c r="C276" s="52">
        <v>3</v>
      </c>
      <c r="D276" s="65" t="s">
        <v>44</v>
      </c>
      <c r="E276" s="51" t="s">
        <v>97</v>
      </c>
      <c r="F276" s="51" t="str">
        <f>"Physical Organic Chemistry"</f>
        <v>Physical Organic Chemistry</v>
      </c>
      <c r="G276" s="52">
        <v>3</v>
      </c>
      <c r="H276" s="65" t="s">
        <v>44</v>
      </c>
      <c r="I276" s="51" t="s">
        <v>97</v>
      </c>
      <c r="J276" s="51" t="str">
        <f>"Fysisch Organische Chemie"</f>
        <v>Fysisch Organische Chemie</v>
      </c>
      <c r="K276" s="52">
        <v>3</v>
      </c>
      <c r="L276" s="65" t="s">
        <v>44</v>
      </c>
    </row>
    <row r="277" spans="1:12">
      <c r="A277" s="51" t="s">
        <v>452</v>
      </c>
      <c r="B277" s="51" t="s">
        <v>453</v>
      </c>
      <c r="C277" s="52">
        <v>3</v>
      </c>
      <c r="D277" s="65" t="s">
        <v>44</v>
      </c>
      <c r="E277" s="51" t="s">
        <v>207</v>
      </c>
      <c r="F277" s="51" t="str">
        <f>"Kristalgroei"</f>
        <v>Kristalgroei</v>
      </c>
      <c r="G277" s="52">
        <v>3</v>
      </c>
      <c r="H277" s="65" t="s">
        <v>44</v>
      </c>
      <c r="I277" s="51" t="s">
        <v>207</v>
      </c>
      <c r="J277" s="51" t="str">
        <f>"Kristalgroei"</f>
        <v>Kristalgroei</v>
      </c>
      <c r="K277" s="52">
        <v>3</v>
      </c>
      <c r="L277" s="65" t="s">
        <v>44</v>
      </c>
    </row>
    <row r="278" spans="1:12">
      <c r="A278" s="237"/>
      <c r="B278" s="237"/>
      <c r="C278" s="92"/>
      <c r="D278" s="65"/>
      <c r="E278" s="237"/>
      <c r="F278" s="237"/>
      <c r="G278" s="92"/>
      <c r="H278" s="65"/>
      <c r="I278" s="61" t="s">
        <v>45</v>
      </c>
      <c r="J278" s="62"/>
      <c r="K278" s="63"/>
      <c r="L278" s="244"/>
    </row>
    <row r="279" spans="1:12">
      <c r="A279" s="237"/>
      <c r="B279" s="237"/>
      <c r="C279" s="92"/>
      <c r="D279" s="65"/>
      <c r="E279" s="237"/>
      <c r="F279" s="237"/>
      <c r="G279" s="92"/>
      <c r="H279" s="65"/>
      <c r="I279" s="103"/>
      <c r="J279" s="54"/>
      <c r="K279" s="57"/>
      <c r="L279" s="69"/>
    </row>
    <row r="280" spans="1:12">
      <c r="A280" s="237"/>
      <c r="B280" s="237"/>
      <c r="C280" s="92"/>
      <c r="D280" s="65"/>
      <c r="E280" s="237"/>
      <c r="F280" s="237"/>
      <c r="G280" s="92"/>
      <c r="H280" s="65"/>
      <c r="I280" s="103"/>
      <c r="J280" s="54"/>
      <c r="K280" s="57"/>
      <c r="L280" s="69"/>
    </row>
    <row r="281" spans="1:12">
      <c r="A281" s="64" t="s">
        <v>45</v>
      </c>
      <c r="B281" s="51"/>
      <c r="C281" s="52"/>
      <c r="D281" s="65"/>
      <c r="E281" s="64" t="s">
        <v>45</v>
      </c>
      <c r="F281" s="51"/>
      <c r="G281" s="52"/>
      <c r="H281" s="65"/>
      <c r="I281" s="103"/>
      <c r="J281" s="54"/>
      <c r="K281" s="57"/>
      <c r="L281" s="69"/>
    </row>
    <row r="282" spans="1:12" ht="23.25">
      <c r="A282" s="90" t="s">
        <v>208</v>
      </c>
      <c r="B282" s="54"/>
      <c r="C282" s="57"/>
      <c r="E282" s="296" t="s">
        <v>560</v>
      </c>
      <c r="F282" s="54"/>
      <c r="G282" s="57"/>
    </row>
    <row r="283" spans="1:12">
      <c r="A283" s="59" t="s">
        <v>477</v>
      </c>
      <c r="B283" s="54"/>
      <c r="C283" s="57"/>
      <c r="E283" s="59" t="s">
        <v>443</v>
      </c>
      <c r="F283" s="54"/>
      <c r="G283" s="57"/>
      <c r="H283" s="112"/>
      <c r="I283" s="59" t="s">
        <v>55</v>
      </c>
      <c r="J283" s="54"/>
      <c r="K283" s="57"/>
      <c r="L283" s="112"/>
    </row>
    <row r="284" spans="1:12">
      <c r="A284" s="51" t="s">
        <v>454</v>
      </c>
      <c r="B284" s="51" t="str">
        <f>"Lineaire Mechanica"</f>
        <v>Lineaire Mechanica</v>
      </c>
      <c r="C284" s="52">
        <v>6</v>
      </c>
      <c r="D284" s="65" t="s">
        <v>44</v>
      </c>
      <c r="E284" s="51" t="s">
        <v>213</v>
      </c>
      <c r="F284" s="51" t="str">
        <f>"Analytische Mechanica"</f>
        <v>Analytische Mechanica</v>
      </c>
      <c r="G284" s="52">
        <v>3</v>
      </c>
      <c r="H284" s="65" t="s">
        <v>44</v>
      </c>
      <c r="I284" s="51" t="s">
        <v>209</v>
      </c>
      <c r="J284" s="51" t="str">
        <f>"Mechanica 1B"</f>
        <v>Mechanica 1B</v>
      </c>
      <c r="K284" s="52">
        <v>3</v>
      </c>
      <c r="L284" s="65" t="s">
        <v>44</v>
      </c>
    </row>
    <row r="285" spans="1:12">
      <c r="A285" s="51" t="s">
        <v>455</v>
      </c>
      <c r="B285" s="51" t="s">
        <v>510</v>
      </c>
      <c r="C285" s="52">
        <v>3</v>
      </c>
      <c r="D285" s="65" t="s">
        <v>44</v>
      </c>
      <c r="E285" s="51" t="s">
        <v>202</v>
      </c>
      <c r="F285" s="51" t="str">
        <f>"Elektriciteit en Magnetisme"</f>
        <v>Elektriciteit en Magnetisme</v>
      </c>
      <c r="G285" s="52">
        <v>6</v>
      </c>
      <c r="H285" s="65" t="s">
        <v>44</v>
      </c>
      <c r="I285" s="51" t="s">
        <v>210</v>
      </c>
      <c r="J285" s="51" t="str">
        <f>"Mechanica 2B"</f>
        <v>Mechanica 2B</v>
      </c>
      <c r="K285" s="52">
        <v>3</v>
      </c>
      <c r="L285" s="65" t="s">
        <v>44</v>
      </c>
    </row>
    <row r="286" spans="1:12">
      <c r="A286" s="51" t="s">
        <v>211</v>
      </c>
      <c r="B286" s="51" t="str">
        <f>"Golven en Optica"</f>
        <v>Golven en Optica</v>
      </c>
      <c r="C286" s="52">
        <v>3</v>
      </c>
      <c r="D286" s="65" t="s">
        <v>44</v>
      </c>
      <c r="E286" s="51" t="s">
        <v>168</v>
      </c>
      <c r="F286" s="51" t="str">
        <f>"Inleiding Kwantummechanica"</f>
        <v>Inleiding Kwantummechanica</v>
      </c>
      <c r="G286" s="52">
        <v>3</v>
      </c>
      <c r="H286" s="65" t="s">
        <v>44</v>
      </c>
      <c r="I286" s="51" t="s">
        <v>211</v>
      </c>
      <c r="J286" s="51" t="str">
        <f>"Golven en Optica"</f>
        <v>Golven en Optica</v>
      </c>
      <c r="K286" s="52">
        <v>3</v>
      </c>
      <c r="L286" s="65" t="s">
        <v>44</v>
      </c>
    </row>
    <row r="287" spans="1:12">
      <c r="A287" s="51" t="s">
        <v>168</v>
      </c>
      <c r="B287" s="51" t="str">
        <f>"Inleiding Kwantummechanica"</f>
        <v>Inleiding Kwantummechanica</v>
      </c>
      <c r="C287" s="52">
        <v>3</v>
      </c>
      <c r="D287" s="65" t="s">
        <v>44</v>
      </c>
      <c r="E287" s="51" t="s">
        <v>214</v>
      </c>
      <c r="F287" s="51" t="str">
        <f>"Kwantummechanica 1a"</f>
        <v>Kwantummechanica 1a</v>
      </c>
      <c r="G287" s="52">
        <v>3</v>
      </c>
      <c r="H287" s="65" t="s">
        <v>44</v>
      </c>
      <c r="I287" s="51" t="s">
        <v>168</v>
      </c>
      <c r="J287" s="51" t="str">
        <f>"Inleiding Kwantummechanica"</f>
        <v>Inleiding Kwantummechanica</v>
      </c>
      <c r="K287" s="52">
        <v>3</v>
      </c>
      <c r="L287" s="65" t="s">
        <v>44</v>
      </c>
    </row>
    <row r="288" spans="1:12">
      <c r="A288" s="51" t="s">
        <v>511</v>
      </c>
      <c r="B288" s="51" t="str">
        <f>"Voortgezette Mechanica"</f>
        <v>Voortgezette Mechanica</v>
      </c>
      <c r="C288" s="52">
        <v>6</v>
      </c>
      <c r="D288" s="65" t="s">
        <v>44</v>
      </c>
      <c r="E288" s="51" t="s">
        <v>216</v>
      </c>
      <c r="F288" s="51" t="str">
        <f>"Kwantummechanica 1b"</f>
        <v>Kwantummechanica 1b</v>
      </c>
      <c r="G288" s="52">
        <v>3</v>
      </c>
      <c r="H288" s="65" t="s">
        <v>44</v>
      </c>
      <c r="I288" s="51" t="s">
        <v>212</v>
      </c>
      <c r="J288" s="51" t="str">
        <f>"Trillingen en Golven"</f>
        <v>Trillingen en Golven</v>
      </c>
      <c r="K288" s="52">
        <v>3</v>
      </c>
      <c r="L288" s="65" t="s">
        <v>44</v>
      </c>
    </row>
    <row r="289" spans="1:12">
      <c r="A289" s="51" t="s">
        <v>512</v>
      </c>
      <c r="B289" s="51" t="str">
        <f>"Elektriciteit en Magnetisme"</f>
        <v>Elektriciteit en Magnetisme</v>
      </c>
      <c r="C289" s="52">
        <v>6</v>
      </c>
      <c r="D289" s="65" t="s">
        <v>44</v>
      </c>
      <c r="E289" s="51" t="s">
        <v>454</v>
      </c>
      <c r="F289" s="51" t="str">
        <f>"Lineaire Mechanica"</f>
        <v>Lineaire Mechanica</v>
      </c>
      <c r="G289" s="52">
        <v>6</v>
      </c>
      <c r="H289" s="65" t="s">
        <v>44</v>
      </c>
      <c r="I289" s="51" t="s">
        <v>213</v>
      </c>
      <c r="J289" s="51" t="str">
        <f>"Analytische Mechanica"</f>
        <v>Analytische Mechanica</v>
      </c>
      <c r="K289" s="52">
        <v>3</v>
      </c>
      <c r="L289" s="65" t="s">
        <v>44</v>
      </c>
    </row>
    <row r="290" spans="1:12">
      <c r="A290" s="64" t="s">
        <v>45</v>
      </c>
      <c r="B290" s="51"/>
      <c r="C290" s="52"/>
      <c r="D290" s="65"/>
      <c r="E290" s="51" t="s">
        <v>455</v>
      </c>
      <c r="F290" s="51" t="s">
        <v>456</v>
      </c>
      <c r="G290" s="52">
        <v>3</v>
      </c>
      <c r="H290" s="65" t="s">
        <v>44</v>
      </c>
      <c r="I290" s="51" t="s">
        <v>202</v>
      </c>
      <c r="J290" s="51" t="str">
        <f>"Elektriciteit en Magnetisme 1B"</f>
        <v>Elektriciteit en Magnetisme 1B</v>
      </c>
      <c r="K290" s="52">
        <v>3</v>
      </c>
      <c r="L290" s="65" t="s">
        <v>44</v>
      </c>
    </row>
    <row r="291" spans="1:12">
      <c r="B291" s="51"/>
      <c r="C291" s="52"/>
      <c r="D291" s="65"/>
      <c r="E291" s="51" t="s">
        <v>212</v>
      </c>
      <c r="F291" s="51" t="str">
        <f>"Trillingen en Golven"</f>
        <v>Trillingen en Golven</v>
      </c>
      <c r="G291" s="52">
        <v>3</v>
      </c>
      <c r="H291" s="65" t="s">
        <v>44</v>
      </c>
      <c r="I291" s="51" t="s">
        <v>214</v>
      </c>
      <c r="J291" s="51" t="str">
        <f>"Kwantummechanica 1a"</f>
        <v>Kwantummechanica 1a</v>
      </c>
      <c r="K291" s="52">
        <v>3</v>
      </c>
      <c r="L291" s="65" t="s">
        <v>44</v>
      </c>
    </row>
    <row r="292" spans="1:12">
      <c r="A292" s="64"/>
      <c r="B292" s="51"/>
      <c r="C292" s="52"/>
      <c r="D292" s="65"/>
      <c r="E292" s="64" t="s">
        <v>45</v>
      </c>
      <c r="F292" s="51"/>
      <c r="G292" s="52"/>
      <c r="H292" s="65"/>
      <c r="I292" s="51" t="s">
        <v>215</v>
      </c>
      <c r="J292" s="51" t="str">
        <f>"Elektriciteit en Magnetisme 2B"</f>
        <v>Elektriciteit en Magnetisme 2B</v>
      </c>
      <c r="K292" s="52">
        <v>3</v>
      </c>
      <c r="L292" s="65" t="s">
        <v>44</v>
      </c>
    </row>
    <row r="293" spans="1:12">
      <c r="E293" s="115"/>
      <c r="H293" s="112"/>
      <c r="I293" s="51" t="s">
        <v>216</v>
      </c>
      <c r="J293" s="51" t="str">
        <f>"Kwantummechanica 1b"</f>
        <v>Kwantummechanica 1b</v>
      </c>
      <c r="K293" s="52">
        <v>3</v>
      </c>
      <c r="L293" s="65" t="s">
        <v>44</v>
      </c>
    </row>
    <row r="294" spans="1:12">
      <c r="E294" s="115"/>
      <c r="H294" s="112"/>
      <c r="I294" s="64" t="s">
        <v>45</v>
      </c>
      <c r="J294" s="51"/>
      <c r="K294" s="52"/>
      <c r="L294" s="65"/>
    </row>
    <row r="295" spans="1:12" ht="23.25">
      <c r="A295" s="110" t="s">
        <v>217</v>
      </c>
      <c r="B295" s="76"/>
      <c r="C295" s="104"/>
      <c r="D295" s="105"/>
      <c r="E295" s="296" t="s">
        <v>561</v>
      </c>
      <c r="F295" s="54"/>
      <c r="G295" s="57"/>
    </row>
    <row r="296" spans="1:12" ht="15" customHeight="1">
      <c r="A296" s="103" t="s">
        <v>482</v>
      </c>
      <c r="B296" s="76"/>
      <c r="C296" s="104"/>
      <c r="D296" s="105"/>
      <c r="E296" s="103"/>
      <c r="F296" s="54"/>
      <c r="G296" s="57"/>
    </row>
    <row r="297" spans="1:12" ht="15" customHeight="1">
      <c r="A297" s="51" t="s">
        <v>95</v>
      </c>
      <c r="B297" s="51" t="str">
        <f>"Essentials of Organic Chemistry"</f>
        <v>Essentials of Organic Chemistry</v>
      </c>
      <c r="C297" s="52">
        <v>6</v>
      </c>
      <c r="D297" s="65" t="s">
        <v>44</v>
      </c>
      <c r="E297" s="103"/>
      <c r="F297" s="54"/>
      <c r="G297" s="57"/>
    </row>
    <row r="298" spans="1:12">
      <c r="A298" s="51" t="s">
        <v>130</v>
      </c>
      <c r="B298" s="51" t="str">
        <f>"Green Chemistry"</f>
        <v>Green Chemistry</v>
      </c>
      <c r="C298" s="52">
        <v>3</v>
      </c>
      <c r="D298" s="65" t="s">
        <v>44</v>
      </c>
      <c r="E298" s="103"/>
      <c r="F298" s="54"/>
      <c r="G298" s="57"/>
    </row>
    <row r="299" spans="1:12">
      <c r="A299" s="51" t="s">
        <v>91</v>
      </c>
      <c r="B299" s="51" t="str">
        <f>"Geographic Information Systems"</f>
        <v>Geographic Information Systems</v>
      </c>
      <c r="C299" s="52">
        <v>6</v>
      </c>
      <c r="D299" s="65" t="s">
        <v>44</v>
      </c>
      <c r="E299" s="103"/>
      <c r="F299" s="54"/>
      <c r="G299" s="57"/>
    </row>
    <row r="300" spans="1:12">
      <c r="A300" s="237"/>
      <c r="B300" s="237"/>
      <c r="C300" s="92"/>
      <c r="D300" s="65"/>
      <c r="E300" s="103"/>
      <c r="F300" s="54"/>
      <c r="G300" s="57"/>
    </row>
    <row r="301" spans="1:12">
      <c r="A301" s="237"/>
      <c r="B301" s="237"/>
      <c r="C301" s="92"/>
      <c r="D301" s="65"/>
      <c r="E301" s="103"/>
      <c r="F301" s="54"/>
      <c r="G301" s="57"/>
    </row>
    <row r="302" spans="1:12">
      <c r="A302" s="237"/>
      <c r="B302" s="237"/>
      <c r="C302" s="92"/>
      <c r="D302" s="65"/>
      <c r="E302" s="103"/>
      <c r="F302" s="54"/>
      <c r="G302" s="57"/>
    </row>
    <row r="303" spans="1:12">
      <c r="A303" s="64" t="s">
        <v>45</v>
      </c>
      <c r="B303" s="51"/>
      <c r="C303" s="52"/>
      <c r="D303" s="65"/>
      <c r="E303" s="103"/>
      <c r="F303" s="54"/>
      <c r="G303" s="57"/>
    </row>
    <row r="304" spans="1:12" ht="23.25">
      <c r="A304" s="56" t="s">
        <v>35</v>
      </c>
      <c r="B304" s="54"/>
      <c r="C304" s="57"/>
      <c r="E304" s="103"/>
      <c r="F304" s="54"/>
      <c r="G304" s="57"/>
    </row>
    <row r="305" spans="1:7">
      <c r="A305" s="59" t="s">
        <v>376</v>
      </c>
      <c r="B305" s="54"/>
      <c r="C305" s="57"/>
      <c r="E305" s="103"/>
      <c r="F305" s="54"/>
      <c r="G305" s="57"/>
    </row>
    <row r="306" spans="1:7">
      <c r="A306" s="236" t="s">
        <v>6</v>
      </c>
      <c r="B306" s="237"/>
      <c r="C306" s="92"/>
      <c r="D306" s="65" t="s">
        <v>44</v>
      </c>
      <c r="E306" s="103"/>
      <c r="F306" s="54"/>
      <c r="G306" s="57"/>
    </row>
    <row r="307" spans="1:7">
      <c r="A307" s="236" t="s">
        <v>6</v>
      </c>
      <c r="B307" s="237"/>
      <c r="C307" s="92"/>
      <c r="D307" s="65" t="s">
        <v>44</v>
      </c>
      <c r="E307" s="103"/>
      <c r="F307" s="54"/>
      <c r="G307" s="57"/>
    </row>
    <row r="308" spans="1:7">
      <c r="A308" s="236" t="s">
        <v>6</v>
      </c>
      <c r="B308" s="237"/>
      <c r="C308" s="92"/>
      <c r="D308" s="65" t="s">
        <v>44</v>
      </c>
      <c r="E308" s="103"/>
      <c r="F308" s="54"/>
      <c r="G308" s="57"/>
    </row>
    <row r="309" spans="1:7">
      <c r="A309" s="236" t="s">
        <v>6</v>
      </c>
      <c r="B309" s="237"/>
      <c r="C309" s="92"/>
      <c r="D309" s="65" t="s">
        <v>44</v>
      </c>
      <c r="E309" s="103"/>
      <c r="F309" s="54"/>
      <c r="G309" s="57"/>
    </row>
    <row r="310" spans="1:7">
      <c r="A310" s="236" t="s">
        <v>6</v>
      </c>
      <c r="B310" s="237"/>
      <c r="C310" s="92"/>
      <c r="D310" s="65" t="s">
        <v>44</v>
      </c>
      <c r="E310" s="103"/>
      <c r="F310" s="54"/>
      <c r="G310" s="57"/>
    </row>
    <row r="311" spans="1:7">
      <c r="A311" s="236" t="s">
        <v>6</v>
      </c>
      <c r="B311" s="237"/>
      <c r="C311" s="92"/>
      <c r="D311" s="65"/>
      <c r="E311" s="103"/>
      <c r="F311" s="54"/>
      <c r="G311" s="57"/>
    </row>
    <row r="312" spans="1:7">
      <c r="A312" s="236" t="s">
        <v>6</v>
      </c>
      <c r="B312" s="237"/>
      <c r="C312" s="92"/>
      <c r="D312" s="65"/>
      <c r="E312" s="103"/>
      <c r="F312" s="54"/>
      <c r="G312" s="57"/>
    </row>
    <row r="313" spans="1:7">
      <c r="A313" s="236" t="s">
        <v>6</v>
      </c>
      <c r="B313" s="237"/>
      <c r="C313" s="92"/>
      <c r="D313" s="65"/>
      <c r="E313" s="103"/>
      <c r="F313" s="54"/>
      <c r="G313" s="57"/>
    </row>
    <row r="314" spans="1:7">
      <c r="A314" s="236" t="s">
        <v>6</v>
      </c>
      <c r="B314" s="237"/>
      <c r="C314" s="92"/>
      <c r="D314" s="65"/>
      <c r="E314" s="103"/>
      <c r="F314" s="54"/>
      <c r="G314" s="57"/>
    </row>
    <row r="315" spans="1:7">
      <c r="A315" s="236" t="s">
        <v>6</v>
      </c>
      <c r="B315" s="237"/>
      <c r="C315" s="92"/>
      <c r="D315" s="65"/>
      <c r="E315" s="103"/>
      <c r="F315" s="54"/>
      <c r="G315" s="57"/>
    </row>
    <row r="316" spans="1:7">
      <c r="A316" s="236" t="s">
        <v>6</v>
      </c>
      <c r="B316" s="237"/>
      <c r="C316" s="92"/>
      <c r="D316" s="65"/>
      <c r="E316" s="103"/>
      <c r="F316" s="54"/>
      <c r="G316" s="57"/>
    </row>
    <row r="317" spans="1:7">
      <c r="A317" s="238" t="s">
        <v>218</v>
      </c>
      <c r="B317" s="239"/>
      <c r="C317" s="240"/>
      <c r="D317" s="111"/>
      <c r="E317" s="103"/>
      <c r="F317" s="54"/>
      <c r="G317" s="57"/>
    </row>
    <row r="318" spans="1:7">
      <c r="A318" s="238" t="s">
        <v>381</v>
      </c>
      <c r="B318" s="239"/>
      <c r="C318" s="240"/>
      <c r="D318" s="111"/>
      <c r="E318" s="103"/>
      <c r="F318" s="54"/>
      <c r="G318" s="57"/>
    </row>
    <row r="319" spans="1:7">
      <c r="A319" s="64" t="s">
        <v>45</v>
      </c>
      <c r="B319" s="51"/>
      <c r="C319" s="52"/>
      <c r="D319" s="65"/>
      <c r="E319" s="103"/>
      <c r="F319" s="54"/>
      <c r="G319" s="57"/>
    </row>
    <row r="320" spans="1:7">
      <c r="A320" s="103"/>
      <c r="B320" s="76"/>
      <c r="C320" s="104"/>
      <c r="D320" s="105"/>
      <c r="E320" s="103"/>
      <c r="F320" s="54"/>
      <c r="G320" s="57"/>
    </row>
    <row r="321" spans="1:7" ht="23.25">
      <c r="A321" s="56" t="s">
        <v>361</v>
      </c>
      <c r="B321" s="54"/>
      <c r="C321" s="57"/>
      <c r="E321" s="103"/>
      <c r="F321" s="54"/>
      <c r="G321" s="57"/>
    </row>
    <row r="322" spans="1:7">
      <c r="A322" s="59" t="s">
        <v>376</v>
      </c>
      <c r="B322" s="54"/>
      <c r="C322" s="57"/>
      <c r="E322" s="103"/>
      <c r="F322" s="54"/>
      <c r="G322" s="57"/>
    </row>
    <row r="323" spans="1:7">
      <c r="A323" s="236" t="s">
        <v>377</v>
      </c>
      <c r="B323" s="237"/>
      <c r="C323" s="92"/>
      <c r="D323" s="65"/>
      <c r="E323" s="103"/>
      <c r="F323" s="54"/>
      <c r="G323" s="57"/>
    </row>
    <row r="324" spans="1:7">
      <c r="A324" s="241"/>
      <c r="B324" s="242"/>
      <c r="C324" s="243"/>
      <c r="D324" s="244"/>
      <c r="E324" s="103"/>
      <c r="F324" s="54"/>
      <c r="G324" s="57"/>
    </row>
    <row r="325" spans="1:7">
      <c r="A325" s="61" t="s">
        <v>45</v>
      </c>
      <c r="B325" s="62"/>
      <c r="C325" s="63"/>
      <c r="D325" s="244"/>
      <c r="E325" s="103"/>
      <c r="F325" s="54"/>
      <c r="G325" s="57"/>
    </row>
    <row r="326" spans="1:7" ht="23.25">
      <c r="A326" s="56"/>
      <c r="B326" s="54"/>
      <c r="C326" s="57"/>
      <c r="E326" s="103"/>
      <c r="F326" s="54"/>
      <c r="G326" s="57"/>
    </row>
    <row r="327" spans="1:7">
      <c r="A327" s="59"/>
      <c r="B327" s="54"/>
      <c r="C327" s="57"/>
      <c r="E327" s="103"/>
      <c r="F327" s="54"/>
      <c r="G327" s="57"/>
    </row>
    <row r="328" spans="1:7" ht="23.25">
      <c r="A328" s="56" t="s">
        <v>224</v>
      </c>
      <c r="B328" s="54"/>
      <c r="C328" s="57"/>
      <c r="E328" s="103"/>
      <c r="F328" s="54"/>
      <c r="G328" s="57"/>
    </row>
    <row r="329" spans="1:7">
      <c r="A329" s="59" t="s">
        <v>429</v>
      </c>
      <c r="B329" s="54"/>
      <c r="C329" s="57"/>
      <c r="E329" s="103"/>
      <c r="F329" s="54"/>
      <c r="G329" s="57"/>
    </row>
    <row r="330" spans="1:7">
      <c r="A330" s="51" t="s">
        <v>150</v>
      </c>
      <c r="B330" s="51" t="str">
        <f>"Architectuur Digitale Wereld"</f>
        <v>Architectuur Digitale Wereld</v>
      </c>
      <c r="C330" s="52">
        <v>3</v>
      </c>
      <c r="D330" s="65" t="s">
        <v>44</v>
      </c>
      <c r="E330" s="103"/>
      <c r="F330" s="54"/>
      <c r="G330" s="57"/>
    </row>
    <row r="331" spans="1:7">
      <c r="A331" s="51" t="s">
        <v>101</v>
      </c>
      <c r="B331" s="51"/>
      <c r="C331" s="52"/>
      <c r="D331" s="65" t="s">
        <v>44</v>
      </c>
      <c r="E331" s="103"/>
      <c r="F331" s="54"/>
      <c r="G331" s="57"/>
    </row>
    <row r="332" spans="1:7">
      <c r="A332" s="64" t="s">
        <v>6</v>
      </c>
      <c r="B332" s="184" t="s">
        <v>46</v>
      </c>
      <c r="C332" s="52"/>
      <c r="D332" s="65"/>
      <c r="E332" s="103"/>
      <c r="F332" s="54"/>
      <c r="G332" s="57"/>
    </row>
    <row r="333" spans="1:7">
      <c r="A333" s="66" t="s">
        <v>225</v>
      </c>
      <c r="B333" s="66" t="s">
        <v>244</v>
      </c>
      <c r="C333" s="67">
        <v>6</v>
      </c>
      <c r="D333" s="68"/>
      <c r="E333" s="103"/>
      <c r="F333" s="54"/>
      <c r="G333" s="57"/>
    </row>
    <row r="334" spans="1:7">
      <c r="A334" s="66" t="s">
        <v>102</v>
      </c>
      <c r="B334" s="66" t="s">
        <v>245</v>
      </c>
      <c r="C334" s="67">
        <v>6</v>
      </c>
      <c r="D334" s="68"/>
      <c r="E334" s="103"/>
      <c r="F334" s="54"/>
      <c r="G334" s="57"/>
    </row>
    <row r="335" spans="1:7">
      <c r="A335" s="61" t="s">
        <v>45</v>
      </c>
      <c r="B335" s="62"/>
      <c r="C335" s="63"/>
      <c r="D335" s="244"/>
      <c r="E335" s="103"/>
      <c r="F335" s="54"/>
      <c r="G335" s="57"/>
    </row>
    <row r="336" spans="1:7">
      <c r="A336" s="103"/>
      <c r="B336" s="76"/>
      <c r="C336" s="104"/>
      <c r="D336" s="105"/>
      <c r="E336" s="103"/>
      <c r="F336" s="54"/>
      <c r="G336" s="57"/>
    </row>
    <row r="337" spans="1:7" ht="23.25">
      <c r="A337" s="56" t="s">
        <v>226</v>
      </c>
      <c r="B337" s="54"/>
      <c r="C337" s="57"/>
      <c r="E337" s="103"/>
      <c r="F337" s="54"/>
      <c r="G337" s="57"/>
    </row>
    <row r="338" spans="1:7">
      <c r="A338" s="59" t="s">
        <v>429</v>
      </c>
      <c r="B338" s="54"/>
      <c r="C338" s="57"/>
      <c r="E338" s="103"/>
      <c r="F338" s="54"/>
      <c r="G338" s="57"/>
    </row>
    <row r="339" spans="1:7">
      <c r="A339" s="51" t="s">
        <v>100</v>
      </c>
      <c r="B339" s="51"/>
      <c r="C339" s="52"/>
      <c r="D339" s="65" t="s">
        <v>44</v>
      </c>
      <c r="E339" s="103"/>
      <c r="F339" s="54"/>
      <c r="G339" s="57"/>
    </row>
    <row r="340" spans="1:7">
      <c r="A340" s="51" t="s">
        <v>101</v>
      </c>
      <c r="B340" s="51"/>
      <c r="C340" s="52"/>
      <c r="D340" s="65" t="s">
        <v>44</v>
      </c>
      <c r="E340" s="103"/>
      <c r="F340" s="54"/>
      <c r="G340" s="57"/>
    </row>
    <row r="341" spans="1:7">
      <c r="A341" s="64" t="s">
        <v>6</v>
      </c>
      <c r="B341" s="184" t="s">
        <v>46</v>
      </c>
      <c r="C341" s="52"/>
      <c r="D341" s="65"/>
      <c r="E341" s="103"/>
      <c r="F341" s="54"/>
      <c r="G341" s="57"/>
    </row>
    <row r="342" spans="1:7">
      <c r="A342" s="66" t="s">
        <v>102</v>
      </c>
      <c r="B342" s="66" t="s">
        <v>245</v>
      </c>
      <c r="C342" s="67">
        <v>6</v>
      </c>
      <c r="D342" s="68"/>
      <c r="E342" s="103"/>
      <c r="F342" s="54"/>
      <c r="G342" s="57"/>
    </row>
    <row r="343" spans="1:7">
      <c r="A343" s="66" t="s">
        <v>225</v>
      </c>
      <c r="B343" s="66" t="s">
        <v>244</v>
      </c>
      <c r="C343" s="67">
        <v>6</v>
      </c>
      <c r="D343" s="68"/>
      <c r="E343" s="103"/>
      <c r="F343" s="54"/>
      <c r="G343" s="57"/>
    </row>
    <row r="344" spans="1:7">
      <c r="A344" s="61" t="s">
        <v>45</v>
      </c>
      <c r="B344" s="62"/>
      <c r="C344" s="63"/>
      <c r="D344" s="244"/>
      <c r="E344" s="103"/>
      <c r="F344" s="54"/>
      <c r="G344" s="57"/>
    </row>
    <row r="345" spans="1:7">
      <c r="A345" s="103"/>
      <c r="B345" s="76"/>
      <c r="C345" s="104"/>
      <c r="D345" s="105"/>
      <c r="E345" s="103"/>
      <c r="F345" s="54"/>
      <c r="G345" s="57"/>
    </row>
    <row r="346" spans="1:7" ht="23.25">
      <c r="A346" s="56" t="s">
        <v>234</v>
      </c>
      <c r="B346" s="54"/>
      <c r="C346" s="57"/>
      <c r="E346" s="103"/>
      <c r="F346" s="54"/>
      <c r="G346" s="57"/>
    </row>
    <row r="347" spans="1:7">
      <c r="A347" s="59" t="s">
        <v>429</v>
      </c>
      <c r="B347" s="54"/>
      <c r="C347" s="57"/>
      <c r="E347" s="103"/>
      <c r="F347" s="54"/>
      <c r="G347" s="57"/>
    </row>
    <row r="348" spans="1:7">
      <c r="A348" s="113" t="s">
        <v>235</v>
      </c>
      <c r="B348" s="51" t="str">
        <f>"Celbiochemie"</f>
        <v>Celbiochemie</v>
      </c>
      <c r="C348" s="52">
        <v>6</v>
      </c>
      <c r="D348" s="65" t="s">
        <v>44</v>
      </c>
      <c r="E348" s="103"/>
      <c r="F348" s="54"/>
      <c r="G348" s="57"/>
    </row>
    <row r="349" spans="1:7">
      <c r="A349" s="113" t="s">
        <v>173</v>
      </c>
      <c r="B349" s="51" t="str">
        <f>"Celbiologie van Dieren"</f>
        <v>Celbiologie van Dieren</v>
      </c>
      <c r="C349" s="52">
        <v>6</v>
      </c>
      <c r="D349" s="65" t="s">
        <v>44</v>
      </c>
      <c r="E349" s="103"/>
      <c r="F349" s="54"/>
      <c r="G349" s="57"/>
    </row>
    <row r="350" spans="1:7">
      <c r="A350" s="51" t="s">
        <v>19</v>
      </c>
      <c r="B350" s="51" t="str">
        <f>"Biochemistry and Molecular Biology II"</f>
        <v>Biochemistry and Molecular Biology II</v>
      </c>
      <c r="C350" s="52">
        <v>6</v>
      </c>
      <c r="D350" s="65" t="s">
        <v>44</v>
      </c>
      <c r="E350" s="103"/>
      <c r="F350" s="54"/>
      <c r="G350" s="57"/>
    </row>
    <row r="351" spans="1:7">
      <c r="A351" s="51" t="s">
        <v>93</v>
      </c>
      <c r="B351" s="51" t="str">
        <f>"Toegepaste Bioinformatica"</f>
        <v>Toegepaste Bioinformatica</v>
      </c>
      <c r="C351" s="52">
        <v>6</v>
      </c>
      <c r="D351" s="65" t="s">
        <v>44</v>
      </c>
      <c r="E351" s="103"/>
      <c r="F351" s="54"/>
      <c r="G351" s="57"/>
    </row>
    <row r="352" spans="1:7">
      <c r="A352" s="61" t="s">
        <v>45</v>
      </c>
      <c r="B352" s="54"/>
      <c r="C352" s="57"/>
      <c r="E352" s="103"/>
      <c r="F352" s="54"/>
      <c r="G352" s="57"/>
    </row>
    <row r="353" spans="1:7" ht="23.25">
      <c r="A353" s="56"/>
      <c r="B353" s="54"/>
      <c r="C353" s="57"/>
      <c r="E353" s="103"/>
      <c r="F353" s="54"/>
      <c r="G353" s="57"/>
    </row>
    <row r="354" spans="1:7" ht="23.25">
      <c r="A354" s="56" t="s">
        <v>430</v>
      </c>
      <c r="B354" s="54"/>
      <c r="C354" s="57"/>
      <c r="D354" s="58"/>
      <c r="E354" s="103"/>
      <c r="F354" s="54"/>
      <c r="G354" s="57"/>
    </row>
    <row r="355" spans="1:7" ht="15.75" customHeight="1">
      <c r="A355" s="59" t="s">
        <v>376</v>
      </c>
      <c r="B355" s="54"/>
      <c r="C355" s="57"/>
      <c r="D355" s="58"/>
      <c r="E355" s="103"/>
      <c r="F355" s="54"/>
      <c r="G355" s="57"/>
    </row>
    <row r="356" spans="1:7" ht="15.75" customHeight="1">
      <c r="A356" s="272" t="s">
        <v>431</v>
      </c>
      <c r="B356" s="273"/>
      <c r="C356" s="274"/>
      <c r="D356" s="274"/>
      <c r="E356" s="103"/>
      <c r="F356" s="54"/>
      <c r="G356" s="57"/>
    </row>
    <row r="357" spans="1:7">
      <c r="A357" s="236"/>
      <c r="B357" s="237"/>
      <c r="C357" s="92"/>
      <c r="D357" s="65" t="s">
        <v>44</v>
      </c>
      <c r="E357" s="103"/>
      <c r="F357" s="54"/>
      <c r="G357" s="57"/>
    </row>
    <row r="358" spans="1:7">
      <c r="A358" s="236"/>
      <c r="B358" s="237"/>
      <c r="C358" s="92"/>
      <c r="D358" s="65" t="s">
        <v>44</v>
      </c>
      <c r="E358" s="103"/>
      <c r="F358" s="54"/>
      <c r="G358" s="57"/>
    </row>
    <row r="359" spans="1:7">
      <c r="A359" s="236"/>
      <c r="B359" s="237"/>
      <c r="C359" s="92"/>
      <c r="D359" s="65" t="s">
        <v>44</v>
      </c>
      <c r="E359" s="103"/>
      <c r="F359" s="54"/>
      <c r="G359" s="57"/>
    </row>
    <row r="360" spans="1:7">
      <c r="A360" s="236"/>
      <c r="B360" s="237"/>
      <c r="C360" s="92"/>
      <c r="D360" s="65" t="s">
        <v>44</v>
      </c>
      <c r="E360" s="103"/>
      <c r="F360" s="54"/>
      <c r="G360" s="57"/>
    </row>
    <row r="361" spans="1:7">
      <c r="A361" s="236"/>
      <c r="B361" s="237"/>
      <c r="C361" s="92"/>
      <c r="D361" s="65" t="s">
        <v>44</v>
      </c>
      <c r="E361" s="103"/>
      <c r="F361" s="54"/>
      <c r="G361" s="57"/>
    </row>
    <row r="362" spans="1:7">
      <c r="A362" s="236"/>
      <c r="B362" s="237"/>
      <c r="C362" s="92"/>
      <c r="D362" s="65" t="s">
        <v>44</v>
      </c>
      <c r="E362" s="103"/>
      <c r="F362" s="54"/>
      <c r="G362" s="57"/>
    </row>
    <row r="363" spans="1:7">
      <c r="A363" s="236"/>
      <c r="B363" s="237"/>
      <c r="C363" s="92"/>
      <c r="D363" s="65" t="s">
        <v>44</v>
      </c>
      <c r="E363" s="103"/>
      <c r="F363" s="54"/>
      <c r="G363" s="57"/>
    </row>
    <row r="364" spans="1:7">
      <c r="A364" s="236"/>
      <c r="B364" s="237"/>
      <c r="C364" s="92"/>
      <c r="D364" s="65" t="s">
        <v>44</v>
      </c>
      <c r="E364" s="103"/>
      <c r="F364" s="54"/>
      <c r="G364" s="57"/>
    </row>
    <row r="365" spans="1:7">
      <c r="A365" s="236"/>
      <c r="B365" s="237"/>
      <c r="C365" s="92"/>
      <c r="D365" s="65" t="s">
        <v>44</v>
      </c>
      <c r="E365" s="103"/>
      <c r="F365" s="54"/>
      <c r="G365" s="57"/>
    </row>
    <row r="366" spans="1:7">
      <c r="A366" s="236"/>
      <c r="B366" s="237"/>
      <c r="C366" s="92"/>
      <c r="D366" s="65" t="s">
        <v>44</v>
      </c>
      <c r="E366" s="103"/>
      <c r="F366" s="54"/>
      <c r="G366" s="57"/>
    </row>
    <row r="367" spans="1:7">
      <c r="A367" s="272" t="s">
        <v>432</v>
      </c>
      <c r="B367" s="273"/>
      <c r="C367" s="274"/>
      <c r="D367" s="274"/>
      <c r="E367" s="103"/>
      <c r="F367" s="54"/>
      <c r="G367" s="57"/>
    </row>
    <row r="368" spans="1:7">
      <c r="A368" s="236"/>
      <c r="B368" s="237"/>
      <c r="C368" s="92"/>
      <c r="D368" s="65" t="s">
        <v>44</v>
      </c>
      <c r="E368" s="103"/>
      <c r="F368" s="54"/>
      <c r="G368" s="57"/>
    </row>
    <row r="369" spans="1:7">
      <c r="A369" s="236"/>
      <c r="B369" s="237"/>
      <c r="C369" s="92"/>
      <c r="D369" s="65" t="s">
        <v>44</v>
      </c>
      <c r="E369" s="103"/>
      <c r="F369" s="54"/>
      <c r="G369" s="57"/>
    </row>
    <row r="370" spans="1:7">
      <c r="A370" s="236"/>
      <c r="B370" s="237"/>
      <c r="C370" s="92"/>
      <c r="D370" s="65" t="s">
        <v>44</v>
      </c>
      <c r="E370" s="103"/>
      <c r="F370" s="54"/>
      <c r="G370" s="57"/>
    </row>
    <row r="371" spans="1:7">
      <c r="A371" s="236"/>
      <c r="B371" s="237"/>
      <c r="C371" s="92"/>
      <c r="D371" s="65" t="s">
        <v>44</v>
      </c>
      <c r="E371" s="103"/>
      <c r="F371" s="54"/>
      <c r="G371" s="57"/>
    </row>
    <row r="372" spans="1:7">
      <c r="A372" s="236"/>
      <c r="B372" s="237"/>
      <c r="C372" s="92"/>
      <c r="D372" s="65" t="s">
        <v>44</v>
      </c>
      <c r="E372" s="103"/>
      <c r="F372" s="54"/>
      <c r="G372" s="57"/>
    </row>
    <row r="373" spans="1:7">
      <c r="A373" s="236"/>
      <c r="B373" s="237"/>
      <c r="C373" s="92"/>
      <c r="D373" s="65" t="s">
        <v>44</v>
      </c>
      <c r="E373" s="103"/>
      <c r="F373" s="54"/>
      <c r="G373" s="57"/>
    </row>
    <row r="374" spans="1:7">
      <c r="A374" s="236"/>
      <c r="B374" s="237"/>
      <c r="C374" s="92"/>
      <c r="D374" s="65" t="s">
        <v>44</v>
      </c>
      <c r="E374" s="103"/>
      <c r="F374" s="54"/>
      <c r="G374" s="57"/>
    </row>
    <row r="375" spans="1:7">
      <c r="A375" s="236"/>
      <c r="B375" s="237"/>
      <c r="C375" s="92"/>
      <c r="D375" s="65" t="s">
        <v>44</v>
      </c>
      <c r="E375" s="103"/>
      <c r="F375" s="54"/>
      <c r="G375" s="57"/>
    </row>
    <row r="376" spans="1:7">
      <c r="A376" s="236"/>
      <c r="B376" s="237"/>
      <c r="C376" s="92"/>
      <c r="D376" s="65" t="s">
        <v>44</v>
      </c>
      <c r="E376" s="103"/>
      <c r="F376" s="54"/>
      <c r="G376" s="57"/>
    </row>
    <row r="377" spans="1:7">
      <c r="A377" s="236"/>
      <c r="B377" s="237"/>
      <c r="C377" s="92"/>
      <c r="D377" s="65" t="s">
        <v>44</v>
      </c>
      <c r="E377" s="103"/>
      <c r="F377" s="54"/>
      <c r="G377" s="57"/>
    </row>
    <row r="378" spans="1:7">
      <c r="A378" s="238" t="s">
        <v>433</v>
      </c>
      <c r="B378" s="239"/>
      <c r="C378" s="240"/>
      <c r="D378" s="111"/>
      <c r="E378" s="103"/>
      <c r="F378" s="54"/>
      <c r="G378" s="57"/>
    </row>
    <row r="379" spans="1:7">
      <c r="A379" s="238" t="s">
        <v>381</v>
      </c>
      <c r="B379" s="239"/>
      <c r="C379" s="240"/>
      <c r="D379" s="111"/>
      <c r="E379" s="103"/>
      <c r="F379" s="54"/>
      <c r="G379" s="57"/>
    </row>
    <row r="380" spans="1:7">
      <c r="A380" s="238" t="s">
        <v>434</v>
      </c>
      <c r="B380" s="239"/>
      <c r="C380" s="240"/>
      <c r="D380" s="111"/>
      <c r="E380" s="103"/>
      <c r="F380" s="54"/>
      <c r="G380" s="57"/>
    </row>
    <row r="381" spans="1:7">
      <c r="A381" s="238" t="s">
        <v>381</v>
      </c>
      <c r="B381" s="239"/>
      <c r="C381" s="240"/>
      <c r="D381" s="111"/>
      <c r="E381" s="103"/>
      <c r="F381" s="54"/>
      <c r="G381" s="57"/>
    </row>
    <row r="382" spans="1:7">
      <c r="A382" s="64" t="s">
        <v>45</v>
      </c>
      <c r="B382" s="51"/>
      <c r="C382" s="52"/>
      <c r="D382" s="60"/>
      <c r="E382" s="103"/>
      <c r="F382" s="54"/>
      <c r="G382" s="57"/>
    </row>
    <row r="383" spans="1:7" ht="23.25">
      <c r="A383" s="56" t="s">
        <v>458</v>
      </c>
      <c r="B383" s="54"/>
      <c r="C383" s="57"/>
      <c r="E383" s="103"/>
      <c r="F383" s="54"/>
      <c r="G383" s="57"/>
    </row>
    <row r="384" spans="1:7">
      <c r="A384" s="59" t="s">
        <v>376</v>
      </c>
      <c r="B384" s="54"/>
      <c r="C384" s="57"/>
      <c r="E384" s="103"/>
      <c r="F384" s="54"/>
      <c r="G384" s="57"/>
    </row>
    <row r="385" spans="1:7">
      <c r="A385" s="236" t="s">
        <v>6</v>
      </c>
      <c r="B385" s="237"/>
      <c r="C385" s="92"/>
      <c r="D385" s="65" t="s">
        <v>44</v>
      </c>
      <c r="E385" s="103"/>
      <c r="F385" s="54"/>
      <c r="G385" s="57"/>
    </row>
    <row r="386" spans="1:7">
      <c r="A386" s="236" t="s">
        <v>6</v>
      </c>
      <c r="B386" s="237"/>
      <c r="C386" s="92"/>
      <c r="D386" s="65" t="s">
        <v>44</v>
      </c>
      <c r="E386" s="103"/>
      <c r="F386" s="54"/>
      <c r="G386" s="57"/>
    </row>
    <row r="387" spans="1:7">
      <c r="A387" s="236" t="s">
        <v>6</v>
      </c>
      <c r="B387" s="237"/>
      <c r="C387" s="92"/>
      <c r="D387" s="65" t="s">
        <v>44</v>
      </c>
      <c r="E387" s="103"/>
      <c r="F387" s="54"/>
      <c r="G387" s="57"/>
    </row>
    <row r="388" spans="1:7">
      <c r="A388" s="236" t="s">
        <v>6</v>
      </c>
      <c r="B388" s="237"/>
      <c r="C388" s="92"/>
      <c r="D388" s="65" t="s">
        <v>44</v>
      </c>
      <c r="E388" s="103"/>
      <c r="F388" s="54"/>
      <c r="G388" s="57"/>
    </row>
    <row r="389" spans="1:7">
      <c r="A389" s="236" t="s">
        <v>6</v>
      </c>
      <c r="B389" s="237"/>
      <c r="C389" s="92"/>
      <c r="D389" s="65" t="s">
        <v>44</v>
      </c>
      <c r="E389" s="103"/>
      <c r="F389" s="54"/>
      <c r="G389" s="57"/>
    </row>
    <row r="390" spans="1:7">
      <c r="A390" s="236" t="s">
        <v>6</v>
      </c>
      <c r="B390" s="237"/>
      <c r="C390" s="92"/>
      <c r="D390" s="65"/>
      <c r="E390" s="103"/>
      <c r="F390" s="54"/>
      <c r="G390" s="57"/>
    </row>
    <row r="391" spans="1:7">
      <c r="A391" s="236" t="s">
        <v>6</v>
      </c>
      <c r="B391" s="237"/>
      <c r="C391" s="92"/>
      <c r="D391" s="65"/>
      <c r="E391" s="103"/>
      <c r="F391" s="54"/>
      <c r="G391" s="57"/>
    </row>
    <row r="392" spans="1:7">
      <c r="A392" s="236" t="s">
        <v>6</v>
      </c>
      <c r="B392" s="237"/>
      <c r="C392" s="92"/>
      <c r="D392" s="65"/>
      <c r="E392" s="103"/>
      <c r="F392" s="54"/>
      <c r="G392" s="57"/>
    </row>
    <row r="393" spans="1:7">
      <c r="A393" s="236" t="s">
        <v>6</v>
      </c>
      <c r="B393" s="237"/>
      <c r="C393" s="92"/>
      <c r="D393" s="65"/>
      <c r="E393" s="103"/>
      <c r="F393" s="54"/>
      <c r="G393" s="57"/>
    </row>
    <row r="394" spans="1:7">
      <c r="A394" s="236" t="s">
        <v>6</v>
      </c>
      <c r="B394" s="237"/>
      <c r="C394" s="92"/>
      <c r="D394" s="65"/>
      <c r="E394" s="103"/>
      <c r="F394" s="54"/>
      <c r="G394" s="57"/>
    </row>
    <row r="395" spans="1:7">
      <c r="A395" s="236" t="s">
        <v>6</v>
      </c>
      <c r="B395" s="237"/>
      <c r="C395" s="92"/>
      <c r="D395" s="65"/>
      <c r="E395" s="103"/>
      <c r="F395" s="54"/>
      <c r="G395" s="57"/>
    </row>
    <row r="396" spans="1:7">
      <c r="A396" s="238" t="s">
        <v>218</v>
      </c>
      <c r="B396" s="239"/>
      <c r="C396" s="240"/>
      <c r="D396" s="111"/>
      <c r="E396" s="103"/>
      <c r="F396" s="54"/>
      <c r="G396" s="57"/>
    </row>
    <row r="397" spans="1:7">
      <c r="A397" s="238" t="s">
        <v>513</v>
      </c>
      <c r="B397" s="239"/>
      <c r="C397" s="240"/>
      <c r="D397" s="111"/>
      <c r="E397" s="103"/>
      <c r="F397" s="54"/>
      <c r="G397" s="57"/>
    </row>
    <row r="398" spans="1:7">
      <c r="A398" s="64" t="s">
        <v>45</v>
      </c>
      <c r="B398" s="51"/>
      <c r="C398" s="52"/>
      <c r="D398" s="65"/>
      <c r="E398" s="103"/>
      <c r="F398" s="54"/>
      <c r="G398" s="57"/>
    </row>
    <row r="399" spans="1:7" ht="23.25">
      <c r="A399" s="56" t="s">
        <v>459</v>
      </c>
      <c r="B399" s="54"/>
      <c r="C399" s="57"/>
      <c r="E399" s="103"/>
      <c r="F399" s="54"/>
      <c r="G399" s="57"/>
    </row>
    <row r="400" spans="1:7">
      <c r="A400" s="59" t="s">
        <v>376</v>
      </c>
      <c r="B400" s="54"/>
      <c r="C400" s="57"/>
      <c r="E400" s="103"/>
      <c r="F400" s="54"/>
      <c r="G400" s="57"/>
    </row>
    <row r="401" spans="1:7">
      <c r="A401" s="236" t="s">
        <v>6</v>
      </c>
      <c r="B401" s="237"/>
      <c r="C401" s="92"/>
      <c r="D401" s="65" t="s">
        <v>44</v>
      </c>
      <c r="E401" s="103"/>
      <c r="F401" s="54"/>
      <c r="G401" s="57"/>
    </row>
    <row r="402" spans="1:7">
      <c r="A402" s="236" t="s">
        <v>6</v>
      </c>
      <c r="B402" s="237"/>
      <c r="C402" s="92"/>
      <c r="D402" s="65" t="s">
        <v>44</v>
      </c>
      <c r="E402" s="103"/>
      <c r="F402" s="54"/>
      <c r="G402" s="57"/>
    </row>
    <row r="403" spans="1:7">
      <c r="A403" s="236" t="s">
        <v>6</v>
      </c>
      <c r="B403" s="237"/>
      <c r="C403" s="92"/>
      <c r="D403" s="65" t="s">
        <v>44</v>
      </c>
      <c r="E403" s="103"/>
      <c r="F403" s="54"/>
      <c r="G403" s="57"/>
    </row>
    <row r="404" spans="1:7">
      <c r="A404" s="236" t="s">
        <v>6</v>
      </c>
      <c r="B404" s="237"/>
      <c r="C404" s="92"/>
      <c r="D404" s="65" t="s">
        <v>44</v>
      </c>
      <c r="E404" s="103"/>
      <c r="F404" s="54"/>
      <c r="G404" s="57"/>
    </row>
    <row r="405" spans="1:7">
      <c r="A405" s="236" t="s">
        <v>6</v>
      </c>
      <c r="B405" s="237"/>
      <c r="C405" s="92"/>
      <c r="D405" s="65" t="s">
        <v>44</v>
      </c>
      <c r="E405" s="103"/>
      <c r="F405" s="54"/>
      <c r="G405" s="57"/>
    </row>
    <row r="406" spans="1:7">
      <c r="A406" s="236" t="s">
        <v>6</v>
      </c>
      <c r="B406" s="237"/>
      <c r="C406" s="92"/>
      <c r="D406" s="65"/>
      <c r="E406" s="103"/>
      <c r="F406" s="54"/>
      <c r="G406" s="57"/>
    </row>
    <row r="407" spans="1:7">
      <c r="A407" s="236" t="s">
        <v>6</v>
      </c>
      <c r="B407" s="237"/>
      <c r="C407" s="92"/>
      <c r="D407" s="65"/>
      <c r="E407" s="103"/>
      <c r="F407" s="54"/>
      <c r="G407" s="57"/>
    </row>
    <row r="408" spans="1:7">
      <c r="A408" s="236" t="s">
        <v>6</v>
      </c>
      <c r="B408" s="237"/>
      <c r="C408" s="92"/>
      <c r="D408" s="65"/>
      <c r="E408" s="103"/>
      <c r="F408" s="54"/>
      <c r="G408" s="57"/>
    </row>
    <row r="409" spans="1:7">
      <c r="A409" s="236" t="s">
        <v>6</v>
      </c>
      <c r="B409" s="237"/>
      <c r="C409" s="92"/>
      <c r="D409" s="65"/>
      <c r="E409" s="103"/>
      <c r="F409" s="54"/>
      <c r="G409" s="57"/>
    </row>
    <row r="410" spans="1:7">
      <c r="A410" s="236" t="s">
        <v>6</v>
      </c>
      <c r="B410" s="237"/>
      <c r="C410" s="92"/>
      <c r="D410" s="65"/>
      <c r="E410" s="103"/>
      <c r="F410" s="54"/>
      <c r="G410" s="57"/>
    </row>
    <row r="411" spans="1:7">
      <c r="A411" s="236" t="s">
        <v>6</v>
      </c>
      <c r="B411" s="237"/>
      <c r="C411" s="92"/>
      <c r="D411" s="65"/>
      <c r="E411" s="103"/>
      <c r="F411" s="54"/>
      <c r="G411" s="57"/>
    </row>
    <row r="412" spans="1:7">
      <c r="A412" s="238" t="s">
        <v>218</v>
      </c>
      <c r="B412" s="239"/>
      <c r="C412" s="240"/>
      <c r="D412" s="111"/>
      <c r="E412" s="103"/>
      <c r="F412" s="54"/>
      <c r="G412" s="57"/>
    </row>
    <row r="413" spans="1:7">
      <c r="A413" s="64" t="s">
        <v>45</v>
      </c>
      <c r="B413" s="51"/>
      <c r="C413" s="52"/>
      <c r="D413" s="65"/>
      <c r="E413" s="103"/>
      <c r="F413" s="54"/>
      <c r="G413" s="57"/>
    </row>
    <row r="414" spans="1:7">
      <c r="A414" s="59"/>
      <c r="B414" s="54"/>
      <c r="C414" s="57"/>
      <c r="E414" s="103"/>
      <c r="F414" s="54"/>
      <c r="G414" s="57"/>
    </row>
    <row r="415" spans="1:7">
      <c r="A415" s="59"/>
      <c r="B415" s="54"/>
      <c r="C415" s="57"/>
      <c r="E415" s="103"/>
      <c r="F415" s="54"/>
      <c r="G415" s="57"/>
    </row>
    <row r="416" spans="1:7">
      <c r="A416" s="59"/>
      <c r="B416" s="54"/>
      <c r="C416" s="57"/>
      <c r="E416" s="103"/>
      <c r="F416" s="54"/>
      <c r="G416" s="57"/>
    </row>
    <row r="417" spans="1:7">
      <c r="A417" s="59"/>
      <c r="B417" s="54"/>
      <c r="C417" s="57"/>
      <c r="E417" s="103"/>
      <c r="F417" s="54"/>
      <c r="G417" s="57"/>
    </row>
    <row r="418" spans="1:7">
      <c r="A418" s="59"/>
      <c r="B418" s="54"/>
      <c r="C418" s="57"/>
      <c r="E418" s="103"/>
      <c r="F418" s="54"/>
      <c r="G418" s="57"/>
    </row>
    <row r="419" spans="1:7">
      <c r="A419" s="59"/>
      <c r="B419" s="54"/>
      <c r="C419" s="57"/>
      <c r="E419" s="103"/>
      <c r="F419" s="54"/>
      <c r="G419" s="57"/>
    </row>
    <row r="420" spans="1:7">
      <c r="A420" s="59"/>
      <c r="B420" s="54"/>
      <c r="C420" s="57"/>
      <c r="E420" s="103"/>
      <c r="F420" s="54"/>
      <c r="G420" s="57"/>
    </row>
    <row r="421" spans="1:7">
      <c r="A421" s="59"/>
      <c r="B421" s="54"/>
      <c r="C421" s="57"/>
      <c r="E421" s="103"/>
      <c r="F421" s="54"/>
      <c r="G421" s="57"/>
    </row>
    <row r="422" spans="1:7">
      <c r="A422" s="59"/>
      <c r="B422" s="54"/>
      <c r="C422" s="57"/>
      <c r="E422" s="103"/>
      <c r="F422" s="54"/>
      <c r="G422" s="57"/>
    </row>
    <row r="423" spans="1:7">
      <c r="A423" s="59"/>
      <c r="B423" s="54"/>
      <c r="C423" s="57"/>
      <c r="E423" s="103"/>
      <c r="F423" s="54"/>
      <c r="G423" s="57"/>
    </row>
    <row r="424" spans="1:7">
      <c r="A424" s="59"/>
      <c r="B424" s="54"/>
      <c r="C424" s="57"/>
      <c r="E424" s="103"/>
      <c r="F424" s="54"/>
      <c r="G424" s="57"/>
    </row>
    <row r="425" spans="1:7">
      <c r="A425" s="59"/>
      <c r="B425" s="54"/>
      <c r="C425" s="57"/>
      <c r="E425" s="103"/>
      <c r="F425" s="54"/>
      <c r="G425" s="57"/>
    </row>
    <row r="426" spans="1:7">
      <c r="A426" s="59"/>
      <c r="B426" s="54"/>
      <c r="C426" s="57"/>
      <c r="E426" s="103"/>
      <c r="F426" s="54"/>
      <c r="G426" s="57"/>
    </row>
    <row r="427" spans="1:7">
      <c r="A427" s="59"/>
      <c r="B427" s="54"/>
      <c r="C427" s="57"/>
      <c r="E427" s="103"/>
      <c r="F427" s="54"/>
      <c r="G427" s="57"/>
    </row>
    <row r="428" spans="1:7">
      <c r="A428" s="59"/>
      <c r="B428" s="54"/>
      <c r="C428" s="57"/>
      <c r="E428" s="103"/>
      <c r="F428" s="54"/>
      <c r="G428" s="57"/>
    </row>
    <row r="429" spans="1:7">
      <c r="A429" s="59"/>
      <c r="B429" s="54"/>
      <c r="C429" s="57"/>
      <c r="E429" s="103"/>
      <c r="F429" s="54"/>
      <c r="G429" s="57"/>
    </row>
    <row r="430" spans="1:7">
      <c r="A430" s="59"/>
      <c r="B430" s="54"/>
      <c r="C430" s="57"/>
      <c r="E430" s="103"/>
      <c r="F430" s="54"/>
      <c r="G430" s="57"/>
    </row>
    <row r="431" spans="1:7">
      <c r="A431" s="59"/>
      <c r="B431" s="54"/>
      <c r="C431" s="57"/>
      <c r="E431" s="103"/>
      <c r="F431" s="54"/>
      <c r="G431" s="57"/>
    </row>
    <row r="432" spans="1:7">
      <c r="A432" s="59"/>
      <c r="B432" s="54"/>
      <c r="C432" s="57"/>
      <c r="E432" s="103"/>
      <c r="F432" s="54"/>
      <c r="G432" s="57"/>
    </row>
    <row r="433" spans="1:7">
      <c r="A433" s="59"/>
      <c r="B433" s="54"/>
      <c r="C433" s="57"/>
      <c r="E433" s="103"/>
      <c r="F433" s="54"/>
      <c r="G433" s="57"/>
    </row>
    <row r="434" spans="1:7">
      <c r="A434" s="59"/>
      <c r="B434" s="54"/>
      <c r="C434" s="57"/>
      <c r="E434" s="103"/>
      <c r="F434" s="54"/>
      <c r="G434" s="57"/>
    </row>
    <row r="435" spans="1:7">
      <c r="A435" s="59"/>
      <c r="B435" s="54"/>
      <c r="C435" s="57"/>
      <c r="E435" s="103"/>
      <c r="F435" s="54"/>
      <c r="G435" s="57"/>
    </row>
    <row r="436" spans="1:7">
      <c r="A436" s="59"/>
      <c r="B436" s="54"/>
      <c r="C436" s="57"/>
      <c r="E436" s="103"/>
      <c r="F436" s="54"/>
      <c r="G436" s="57"/>
    </row>
    <row r="437" spans="1:7">
      <c r="A437" s="59"/>
      <c r="B437" s="54"/>
      <c r="C437" s="57"/>
      <c r="E437" s="103"/>
      <c r="F437" s="54"/>
      <c r="G437" s="57"/>
    </row>
    <row r="438" spans="1:7">
      <c r="A438" s="59"/>
      <c r="B438" s="54"/>
      <c r="C438" s="57"/>
      <c r="E438" s="103"/>
      <c r="F438" s="54"/>
      <c r="G438" s="57"/>
    </row>
    <row r="439" spans="1:7">
      <c r="A439" s="59"/>
      <c r="B439" s="54"/>
      <c r="C439" s="57"/>
      <c r="E439" s="103"/>
      <c r="F439" s="54"/>
      <c r="G439" s="57"/>
    </row>
    <row r="440" spans="1:7">
      <c r="A440" s="59"/>
      <c r="B440" s="54"/>
      <c r="C440" s="57"/>
      <c r="E440" s="103"/>
      <c r="F440" s="54"/>
      <c r="G440" s="57"/>
    </row>
    <row r="441" spans="1:7">
      <c r="A441" s="59"/>
      <c r="B441" s="54"/>
      <c r="C441" s="57"/>
      <c r="E441" s="103"/>
      <c r="F441" s="54"/>
      <c r="G441" s="57"/>
    </row>
    <row r="442" spans="1:7">
      <c r="A442" s="59"/>
      <c r="B442" s="54"/>
      <c r="C442" s="57"/>
      <c r="E442" s="103"/>
      <c r="F442" s="54"/>
      <c r="G442" s="57"/>
    </row>
    <row r="443" spans="1:7">
      <c r="A443" s="59"/>
      <c r="B443" s="54"/>
      <c r="C443" s="57"/>
      <c r="E443" s="103"/>
      <c r="F443" s="54"/>
      <c r="G443" s="57"/>
    </row>
    <row r="444" spans="1:7">
      <c r="A444" s="59"/>
      <c r="B444" s="54"/>
      <c r="C444" s="57"/>
      <c r="E444" s="103"/>
      <c r="F444" s="54"/>
      <c r="G444" s="57"/>
    </row>
    <row r="445" spans="1:7">
      <c r="A445" s="59"/>
      <c r="B445" s="54"/>
      <c r="C445" s="57"/>
      <c r="E445" s="103"/>
      <c r="F445" s="54"/>
      <c r="G445" s="57"/>
    </row>
    <row r="446" spans="1:7">
      <c r="A446" s="59"/>
      <c r="B446" s="54"/>
      <c r="C446" s="57"/>
      <c r="E446" s="103"/>
      <c r="F446" s="54"/>
      <c r="G446" s="57"/>
    </row>
    <row r="447" spans="1:7">
      <c r="A447" s="59"/>
      <c r="B447" s="54"/>
      <c r="C447" s="57"/>
      <c r="E447" s="103"/>
      <c r="F447" s="54"/>
      <c r="G447" s="57"/>
    </row>
    <row r="448" spans="1:7">
      <c r="A448" s="59"/>
      <c r="B448" s="54"/>
      <c r="C448" s="57"/>
      <c r="E448" s="103"/>
      <c r="F448" s="54"/>
      <c r="G448" s="57"/>
    </row>
    <row r="449" spans="1:7">
      <c r="A449" s="59"/>
      <c r="B449" s="54"/>
      <c r="C449" s="57"/>
      <c r="E449" s="103"/>
      <c r="F449" s="54"/>
      <c r="G449" s="57"/>
    </row>
    <row r="450" spans="1:7">
      <c r="A450" s="59"/>
      <c r="B450" s="54"/>
      <c r="C450" s="57"/>
      <c r="E450" s="103"/>
      <c r="F450" s="54"/>
      <c r="G450" s="57"/>
    </row>
    <row r="451" spans="1:7">
      <c r="A451" s="59"/>
      <c r="B451" s="54"/>
      <c r="C451" s="57"/>
      <c r="E451" s="103"/>
      <c r="F451" s="54"/>
      <c r="G451" s="57"/>
    </row>
    <row r="452" spans="1:7">
      <c r="A452" s="59"/>
      <c r="B452" s="54"/>
      <c r="C452" s="57"/>
      <c r="E452" s="103"/>
      <c r="F452" s="54"/>
      <c r="G452" s="57"/>
    </row>
    <row r="453" spans="1:7">
      <c r="A453" s="59"/>
      <c r="B453" s="54"/>
      <c r="C453" s="57"/>
      <c r="E453" s="103"/>
      <c r="F453" s="54"/>
      <c r="G453" s="57"/>
    </row>
    <row r="454" spans="1:7">
      <c r="A454" s="59"/>
      <c r="B454" s="54"/>
      <c r="C454" s="57"/>
      <c r="E454" s="103"/>
      <c r="F454" s="54"/>
      <c r="G454" s="57"/>
    </row>
    <row r="455" spans="1:7">
      <c r="A455" s="59"/>
      <c r="B455" s="54"/>
      <c r="C455" s="57"/>
      <c r="E455" s="103"/>
      <c r="F455" s="54"/>
      <c r="G455" s="57"/>
    </row>
    <row r="456" spans="1:7">
      <c r="A456" s="59"/>
      <c r="B456" s="54"/>
      <c r="C456" s="57"/>
      <c r="E456" s="103"/>
      <c r="F456" s="54"/>
      <c r="G456" s="57"/>
    </row>
    <row r="457" spans="1:7">
      <c r="A457" s="59"/>
      <c r="B457" s="54"/>
      <c r="C457" s="57"/>
      <c r="E457" s="103"/>
      <c r="F457" s="54"/>
      <c r="G457" s="57"/>
    </row>
    <row r="458" spans="1:7">
      <c r="A458" s="59"/>
      <c r="B458" s="54"/>
      <c r="C458" s="57"/>
      <c r="E458" s="103"/>
      <c r="F458" s="54"/>
      <c r="G458" s="57"/>
    </row>
    <row r="459" spans="1:7">
      <c r="A459" s="59"/>
      <c r="B459" s="54"/>
      <c r="C459" s="57"/>
      <c r="E459" s="103"/>
      <c r="F459" s="54"/>
      <c r="G459" s="57"/>
    </row>
    <row r="460" spans="1:7">
      <c r="A460" s="59"/>
      <c r="B460" s="54"/>
      <c r="C460" s="57"/>
      <c r="E460" s="103"/>
      <c r="F460" s="54"/>
      <c r="G460" s="57"/>
    </row>
    <row r="461" spans="1:7">
      <c r="A461" s="59"/>
      <c r="B461" s="54"/>
      <c r="C461" s="57"/>
      <c r="E461" s="103"/>
      <c r="F461" s="54"/>
      <c r="G461" s="57"/>
    </row>
    <row r="462" spans="1:7">
      <c r="A462" s="59"/>
      <c r="B462" s="54"/>
      <c r="C462" s="57"/>
      <c r="E462" s="103"/>
      <c r="F462" s="54"/>
      <c r="G462" s="57"/>
    </row>
    <row r="463" spans="1:7">
      <c r="A463" s="59"/>
      <c r="B463" s="54"/>
      <c r="C463" s="57"/>
      <c r="E463" s="103"/>
      <c r="F463" s="54"/>
      <c r="G463" s="57"/>
    </row>
    <row r="464" spans="1:7">
      <c r="A464" s="59"/>
      <c r="B464" s="54"/>
      <c r="C464" s="57"/>
      <c r="E464" s="103"/>
      <c r="F464" s="54"/>
      <c r="G464" s="57"/>
    </row>
    <row r="465" spans="1:7">
      <c r="A465" s="59"/>
      <c r="B465" s="54"/>
      <c r="C465" s="57"/>
      <c r="E465" s="103"/>
      <c r="F465" s="54"/>
      <c r="G465" s="57"/>
    </row>
    <row r="466" spans="1:7">
      <c r="A466" s="59"/>
      <c r="B466" s="54"/>
      <c r="C466" s="57"/>
      <c r="E466" s="103"/>
      <c r="F466" s="54"/>
      <c r="G466" s="57"/>
    </row>
    <row r="467" spans="1:7">
      <c r="A467" s="59"/>
      <c r="B467" s="54"/>
      <c r="C467" s="57"/>
      <c r="E467" s="103"/>
      <c r="F467" s="54"/>
      <c r="G467" s="57"/>
    </row>
    <row r="468" spans="1:7">
      <c r="A468" s="59"/>
      <c r="B468" s="54"/>
      <c r="C468" s="57"/>
      <c r="E468" s="103"/>
      <c r="F468" s="54"/>
      <c r="G468" s="57"/>
    </row>
    <row r="469" spans="1:7">
      <c r="A469" s="59"/>
      <c r="B469" s="54"/>
      <c r="C469" s="57"/>
      <c r="E469" s="103"/>
      <c r="F469" s="54"/>
      <c r="G469" s="57"/>
    </row>
    <row r="470" spans="1:7">
      <c r="A470" s="59"/>
      <c r="B470" s="54"/>
      <c r="C470" s="57"/>
      <c r="E470" s="103"/>
      <c r="F470" s="54"/>
      <c r="G470" s="57"/>
    </row>
    <row r="471" spans="1:7">
      <c r="A471" s="59"/>
      <c r="B471" s="54"/>
      <c r="C471" s="57"/>
      <c r="E471" s="103"/>
      <c r="F471" s="54"/>
      <c r="G471" s="57"/>
    </row>
    <row r="472" spans="1:7">
      <c r="A472" s="59"/>
      <c r="B472" s="54"/>
      <c r="C472" s="57"/>
      <c r="E472" s="103"/>
      <c r="F472" s="54"/>
      <c r="G472" s="57"/>
    </row>
    <row r="473" spans="1:7">
      <c r="A473" s="59"/>
      <c r="B473" s="54"/>
      <c r="C473" s="57"/>
      <c r="E473" s="103"/>
      <c r="F473" s="54"/>
      <c r="G473" s="57"/>
    </row>
    <row r="474" spans="1:7">
      <c r="A474" s="59"/>
      <c r="B474" s="54"/>
      <c r="C474" s="57"/>
      <c r="E474" s="103"/>
      <c r="F474" s="54"/>
      <c r="G474" s="57"/>
    </row>
    <row r="475" spans="1:7">
      <c r="A475" s="59"/>
      <c r="B475" s="54"/>
      <c r="C475" s="57"/>
      <c r="E475" s="103"/>
      <c r="F475" s="54"/>
      <c r="G475" s="57"/>
    </row>
    <row r="476" spans="1:7">
      <c r="A476" s="59"/>
      <c r="B476" s="54"/>
      <c r="C476" s="57"/>
      <c r="E476" s="103"/>
      <c r="F476" s="54"/>
      <c r="G476" s="57"/>
    </row>
    <row r="477" spans="1:7">
      <c r="A477" s="59"/>
      <c r="B477" s="54"/>
      <c r="C477" s="57"/>
      <c r="E477" s="103"/>
      <c r="F477" s="54"/>
      <c r="G477" s="57"/>
    </row>
    <row r="478" spans="1:7">
      <c r="A478" s="59"/>
      <c r="B478" s="54"/>
      <c r="C478" s="57"/>
      <c r="E478" s="103"/>
      <c r="F478" s="54"/>
      <c r="G478" s="57"/>
    </row>
    <row r="479" spans="1:7">
      <c r="A479" s="59"/>
      <c r="B479" s="54"/>
      <c r="C479" s="57"/>
      <c r="E479" s="103"/>
      <c r="F479" s="54"/>
      <c r="G479" s="57"/>
    </row>
    <row r="480" spans="1:7">
      <c r="A480" s="59"/>
      <c r="B480" s="54"/>
      <c r="C480" s="57"/>
      <c r="E480" s="103"/>
      <c r="F480" s="54"/>
      <c r="G480" s="57"/>
    </row>
    <row r="481" spans="1:7">
      <c r="A481" s="59"/>
      <c r="B481" s="54"/>
      <c r="C481" s="57"/>
      <c r="E481" s="103"/>
      <c r="F481" s="54"/>
      <c r="G481" s="57"/>
    </row>
    <row r="482" spans="1:7">
      <c r="A482" s="59"/>
      <c r="B482" s="54"/>
      <c r="C482" s="57"/>
      <c r="E482" s="103"/>
      <c r="F482" s="54"/>
      <c r="G482" s="57"/>
    </row>
    <row r="483" spans="1:7">
      <c r="A483" s="59"/>
      <c r="B483" s="54"/>
      <c r="C483" s="57"/>
      <c r="E483" s="103"/>
      <c r="F483" s="54"/>
      <c r="G483" s="57"/>
    </row>
    <row r="484" spans="1:7">
      <c r="A484" s="59"/>
      <c r="B484" s="54"/>
      <c r="C484" s="57"/>
      <c r="E484" s="103"/>
      <c r="F484" s="54"/>
      <c r="G484" s="57"/>
    </row>
    <row r="485" spans="1:7">
      <c r="A485" s="59"/>
      <c r="B485" s="54"/>
      <c r="C485" s="57"/>
      <c r="E485" s="103"/>
      <c r="F485" s="54"/>
      <c r="G485" s="57"/>
    </row>
    <row r="486" spans="1:7">
      <c r="A486" s="59"/>
      <c r="B486" s="54"/>
      <c r="C486" s="57"/>
      <c r="E486" s="103"/>
      <c r="F486" s="54"/>
      <c r="G486" s="57"/>
    </row>
    <row r="487" spans="1:7">
      <c r="A487" s="59"/>
      <c r="B487" s="54"/>
      <c r="C487" s="57"/>
      <c r="E487" s="103"/>
      <c r="F487" s="54"/>
      <c r="G487" s="57"/>
    </row>
    <row r="488" spans="1:7">
      <c r="A488" s="59"/>
      <c r="B488" s="54"/>
      <c r="C488" s="57"/>
      <c r="E488" s="103"/>
      <c r="F488" s="54"/>
      <c r="G488" s="57"/>
    </row>
    <row r="489" spans="1:7">
      <c r="A489" s="59"/>
      <c r="B489" s="54"/>
      <c r="C489" s="57"/>
      <c r="E489" s="103"/>
      <c r="F489" s="54"/>
      <c r="G489" s="57"/>
    </row>
    <row r="490" spans="1:7">
      <c r="A490" s="59"/>
      <c r="B490" s="54"/>
      <c r="C490" s="57"/>
      <c r="E490" s="103"/>
      <c r="F490" s="54"/>
      <c r="G490" s="57"/>
    </row>
    <row r="491" spans="1:7">
      <c r="A491" s="59"/>
      <c r="B491" s="54"/>
      <c r="C491" s="57"/>
      <c r="E491" s="103"/>
      <c r="F491" s="54"/>
      <c r="G491" s="57"/>
    </row>
    <row r="492" spans="1:7">
      <c r="A492" s="59"/>
      <c r="B492" s="54"/>
      <c r="C492" s="57"/>
      <c r="E492" s="103"/>
      <c r="F492" s="54"/>
      <c r="G492" s="57"/>
    </row>
    <row r="493" spans="1:7">
      <c r="A493" s="59"/>
      <c r="B493" s="54"/>
      <c r="C493" s="57"/>
      <c r="E493" s="103"/>
      <c r="F493" s="54"/>
      <c r="G493" s="57"/>
    </row>
    <row r="494" spans="1:7">
      <c r="A494" s="59"/>
      <c r="B494" s="54"/>
      <c r="C494" s="57"/>
      <c r="E494" s="103"/>
      <c r="F494" s="54"/>
      <c r="G494" s="57"/>
    </row>
    <row r="495" spans="1:7">
      <c r="A495" s="59"/>
      <c r="B495" s="54"/>
      <c r="C495" s="57"/>
      <c r="E495" s="103"/>
      <c r="F495" s="54"/>
      <c r="G495" s="57"/>
    </row>
    <row r="496" spans="1:7">
      <c r="A496" s="59"/>
      <c r="B496" s="54"/>
      <c r="C496" s="57"/>
      <c r="E496" s="103"/>
      <c r="F496" s="54"/>
      <c r="G496" s="57"/>
    </row>
    <row r="497" spans="1:7">
      <c r="A497" s="59"/>
      <c r="B497" s="54"/>
      <c r="C497" s="57"/>
      <c r="E497" s="103"/>
      <c r="F497" s="54"/>
      <c r="G497" s="57"/>
    </row>
    <row r="498" spans="1:7">
      <c r="A498" s="59"/>
      <c r="B498" s="54"/>
      <c r="C498" s="57"/>
      <c r="E498" s="103"/>
      <c r="F498" s="54"/>
      <c r="G498" s="57"/>
    </row>
    <row r="499" spans="1:7">
      <c r="A499" s="59"/>
      <c r="B499" s="54"/>
      <c r="C499" s="57"/>
      <c r="E499" s="103"/>
      <c r="F499" s="54"/>
      <c r="G499" s="57"/>
    </row>
    <row r="500" spans="1:7">
      <c r="A500" s="59"/>
      <c r="B500" s="54"/>
      <c r="C500" s="57"/>
      <c r="E500" s="103"/>
      <c r="F500" s="54"/>
      <c r="G500" s="57"/>
    </row>
    <row r="501" spans="1:7">
      <c r="A501" s="59"/>
      <c r="B501" s="54"/>
      <c r="C501" s="57"/>
      <c r="E501" s="103"/>
      <c r="F501" s="54"/>
      <c r="G501" s="57"/>
    </row>
    <row r="502" spans="1:7">
      <c r="A502" s="59"/>
      <c r="B502" s="54"/>
      <c r="C502" s="57"/>
      <c r="E502" s="103"/>
      <c r="F502" s="54"/>
      <c r="G502" s="57"/>
    </row>
    <row r="503" spans="1:7">
      <c r="A503" s="59"/>
      <c r="B503" s="54"/>
      <c r="C503" s="57"/>
      <c r="E503" s="103"/>
      <c r="F503" s="54"/>
      <c r="G503" s="57"/>
    </row>
    <row r="504" spans="1:7">
      <c r="A504" s="59"/>
      <c r="B504" s="54"/>
      <c r="C504" s="57"/>
      <c r="E504" s="103"/>
      <c r="F504" s="54"/>
      <c r="G504" s="57"/>
    </row>
    <row r="505" spans="1:7">
      <c r="A505" s="59"/>
      <c r="B505" s="54"/>
      <c r="C505" s="57"/>
      <c r="E505" s="103"/>
      <c r="F505" s="54"/>
      <c r="G505" s="57"/>
    </row>
    <row r="506" spans="1:7">
      <c r="A506" s="59"/>
      <c r="B506" s="54"/>
      <c r="C506" s="57"/>
      <c r="E506" s="103"/>
      <c r="F506" s="54"/>
      <c r="G506" s="57"/>
    </row>
    <row r="507" spans="1:7">
      <c r="A507" s="59"/>
      <c r="B507" s="54"/>
      <c r="C507" s="57"/>
      <c r="E507" s="103"/>
      <c r="F507" s="54"/>
      <c r="G507" s="57"/>
    </row>
    <row r="508" spans="1:7">
      <c r="A508" s="59"/>
      <c r="B508" s="54"/>
      <c r="C508" s="57"/>
      <c r="E508" s="103"/>
      <c r="F508" s="54"/>
      <c r="G508" s="57"/>
    </row>
    <row r="509" spans="1:7">
      <c r="A509" s="59"/>
      <c r="B509" s="54"/>
      <c r="C509" s="57"/>
      <c r="E509" s="103"/>
      <c r="F509" s="54"/>
      <c r="G509" s="57"/>
    </row>
    <row r="510" spans="1:7">
      <c r="A510" s="59"/>
      <c r="B510" s="54"/>
      <c r="C510" s="57"/>
      <c r="E510" s="103"/>
      <c r="F510" s="54"/>
      <c r="G510" s="57"/>
    </row>
    <row r="511" spans="1:7">
      <c r="A511" s="59"/>
      <c r="B511" s="54"/>
      <c r="C511" s="57"/>
      <c r="E511" s="103"/>
      <c r="F511" s="54"/>
      <c r="G511" s="57"/>
    </row>
    <row r="512" spans="1:7">
      <c r="A512" s="59"/>
      <c r="B512" s="54"/>
      <c r="C512" s="57"/>
      <c r="E512" s="103"/>
      <c r="F512" s="54"/>
      <c r="G512" s="57"/>
    </row>
    <row r="513" spans="1:7">
      <c r="A513" s="59"/>
      <c r="B513" s="54"/>
      <c r="C513" s="57"/>
      <c r="E513" s="103"/>
      <c r="F513" s="54"/>
      <c r="G513" s="57"/>
    </row>
    <row r="514" spans="1:7">
      <c r="A514" s="59"/>
      <c r="B514" s="54"/>
      <c r="C514" s="57"/>
      <c r="E514" s="103"/>
      <c r="F514" s="54"/>
      <c r="G514" s="57"/>
    </row>
    <row r="515" spans="1:7">
      <c r="A515" s="59"/>
      <c r="B515" s="54"/>
      <c r="C515" s="57"/>
      <c r="E515" s="103"/>
      <c r="F515" s="54"/>
      <c r="G515" s="57"/>
    </row>
    <row r="516" spans="1:7">
      <c r="A516" s="59"/>
      <c r="B516" s="54"/>
      <c r="C516" s="57"/>
      <c r="E516" s="103"/>
      <c r="F516" s="54"/>
      <c r="G516" s="57"/>
    </row>
    <row r="517" spans="1:7">
      <c r="A517" s="59"/>
      <c r="B517" s="54"/>
      <c r="C517" s="57"/>
      <c r="E517" s="103"/>
      <c r="F517" s="54"/>
      <c r="G517" s="57"/>
    </row>
    <row r="518" spans="1:7">
      <c r="A518" s="59"/>
      <c r="B518" s="54"/>
      <c r="C518" s="57"/>
      <c r="E518" s="103"/>
      <c r="F518" s="54"/>
      <c r="G518" s="57"/>
    </row>
    <row r="519" spans="1:7">
      <c r="A519" s="59"/>
      <c r="B519" s="54"/>
      <c r="C519" s="57"/>
      <c r="E519" s="103"/>
      <c r="F519" s="54"/>
      <c r="G519" s="57"/>
    </row>
    <row r="520" spans="1:7">
      <c r="A520" s="59"/>
      <c r="B520" s="54"/>
      <c r="C520" s="57"/>
      <c r="E520" s="103"/>
      <c r="F520" s="54"/>
      <c r="G520" s="57"/>
    </row>
    <row r="521" spans="1:7">
      <c r="A521" s="59"/>
      <c r="B521" s="54"/>
      <c r="C521" s="57"/>
      <c r="E521" s="103"/>
      <c r="F521" s="54"/>
      <c r="G521" s="57"/>
    </row>
    <row r="522" spans="1:7">
      <c r="A522" s="59"/>
      <c r="B522" s="54"/>
      <c r="C522" s="57"/>
      <c r="E522" s="103"/>
      <c r="F522" s="54"/>
      <c r="G522" s="57"/>
    </row>
    <row r="523" spans="1:7">
      <c r="A523" s="59"/>
      <c r="B523" s="54"/>
      <c r="C523" s="57"/>
      <c r="E523" s="103"/>
      <c r="F523" s="54"/>
      <c r="G523" s="57"/>
    </row>
    <row r="524" spans="1:7">
      <c r="A524" s="59"/>
      <c r="B524" s="54"/>
      <c r="C524" s="57"/>
      <c r="E524" s="103"/>
      <c r="F524" s="54"/>
      <c r="G524" s="57"/>
    </row>
    <row r="525" spans="1:7">
      <c r="A525" s="59"/>
      <c r="B525" s="54"/>
      <c r="C525" s="57"/>
      <c r="E525" s="103"/>
      <c r="F525" s="54"/>
      <c r="G525" s="57"/>
    </row>
    <row r="526" spans="1:7">
      <c r="A526" s="59"/>
      <c r="B526" s="54"/>
      <c r="C526" s="57"/>
      <c r="E526" s="103"/>
      <c r="F526" s="54"/>
      <c r="G526" s="57"/>
    </row>
    <row r="527" spans="1:7">
      <c r="A527" s="59"/>
      <c r="B527" s="54"/>
      <c r="C527" s="57"/>
      <c r="E527" s="103"/>
      <c r="F527" s="54"/>
      <c r="G527" s="57"/>
    </row>
    <row r="528" spans="1:7">
      <c r="A528" s="59"/>
      <c r="B528" s="54"/>
      <c r="C528" s="57"/>
      <c r="E528" s="103"/>
      <c r="F528" s="54"/>
      <c r="G528" s="57"/>
    </row>
    <row r="529" spans="1:7">
      <c r="A529" s="59"/>
      <c r="B529" s="54"/>
      <c r="C529" s="57"/>
      <c r="E529" s="103"/>
      <c r="F529" s="54"/>
      <c r="G529" s="57"/>
    </row>
    <row r="530" spans="1:7">
      <c r="A530" s="59"/>
      <c r="B530" s="54"/>
      <c r="C530" s="57"/>
      <c r="E530" s="103"/>
      <c r="F530" s="54"/>
      <c r="G530" s="57"/>
    </row>
    <row r="531" spans="1:7">
      <c r="A531" s="59"/>
      <c r="B531" s="54"/>
      <c r="C531" s="57"/>
      <c r="E531" s="103"/>
      <c r="F531" s="54"/>
      <c r="G531" s="57"/>
    </row>
    <row r="532" spans="1:7">
      <c r="A532" s="59"/>
      <c r="B532" s="54"/>
      <c r="C532" s="57"/>
      <c r="E532" s="103"/>
      <c r="F532" s="54"/>
      <c r="G532" s="57"/>
    </row>
    <row r="533" spans="1:7">
      <c r="A533" s="59"/>
      <c r="B533" s="54"/>
      <c r="C533" s="57"/>
      <c r="E533" s="103"/>
      <c r="F533" s="54"/>
      <c r="G533" s="57"/>
    </row>
    <row r="534" spans="1:7">
      <c r="A534" s="59"/>
      <c r="B534" s="54"/>
      <c r="C534" s="57"/>
      <c r="E534" s="103"/>
      <c r="F534" s="54"/>
      <c r="G534" s="57"/>
    </row>
    <row r="535" spans="1:7">
      <c r="A535" s="59"/>
      <c r="B535" s="54"/>
      <c r="C535" s="57"/>
      <c r="E535" s="103"/>
      <c r="F535" s="54"/>
      <c r="G535" s="57"/>
    </row>
    <row r="536" spans="1:7">
      <c r="A536" s="59"/>
      <c r="B536" s="54"/>
      <c r="C536" s="57"/>
      <c r="E536" s="103"/>
      <c r="F536" s="54"/>
      <c r="G536" s="57"/>
    </row>
    <row r="537" spans="1:7">
      <c r="A537" s="59"/>
      <c r="B537" s="54"/>
      <c r="C537" s="57"/>
      <c r="E537" s="103"/>
      <c r="F537" s="54"/>
      <c r="G537" s="57"/>
    </row>
    <row r="538" spans="1:7">
      <c r="A538" s="59"/>
      <c r="B538" s="54"/>
      <c r="C538" s="57"/>
      <c r="E538" s="103"/>
      <c r="F538" s="54"/>
      <c r="G538" s="57"/>
    </row>
    <row r="539" spans="1:7">
      <c r="A539" s="59"/>
      <c r="B539" s="54"/>
      <c r="C539" s="57"/>
      <c r="E539" s="103"/>
      <c r="F539" s="54"/>
      <c r="G539" s="57"/>
    </row>
    <row r="540" spans="1:7">
      <c r="A540" s="59"/>
      <c r="B540" s="54"/>
      <c r="C540" s="57"/>
      <c r="E540" s="103"/>
      <c r="F540" s="54"/>
      <c r="G540" s="57"/>
    </row>
    <row r="541" spans="1:7">
      <c r="A541" s="59"/>
      <c r="B541" s="54"/>
      <c r="C541" s="57"/>
      <c r="E541" s="103"/>
      <c r="F541" s="54"/>
      <c r="G541" s="57"/>
    </row>
    <row r="542" spans="1:7">
      <c r="A542" s="59"/>
      <c r="B542" s="54"/>
      <c r="C542" s="57"/>
      <c r="E542" s="103"/>
      <c r="F542" s="54"/>
      <c r="G542" s="57"/>
    </row>
    <row r="543" spans="1:7">
      <c r="A543" s="59"/>
      <c r="B543" s="54"/>
      <c r="C543" s="57"/>
      <c r="E543" s="103"/>
      <c r="F543" s="54"/>
      <c r="G543" s="57"/>
    </row>
    <row r="544" spans="1:7">
      <c r="A544" s="59"/>
      <c r="B544" s="54"/>
      <c r="C544" s="57"/>
      <c r="E544" s="103"/>
      <c r="F544" s="54"/>
      <c r="G544" s="57"/>
    </row>
    <row r="545" spans="1:7">
      <c r="A545" s="59"/>
      <c r="B545" s="54"/>
      <c r="C545" s="57"/>
      <c r="E545" s="103"/>
      <c r="F545" s="54"/>
      <c r="G545" s="57"/>
    </row>
    <row r="546" spans="1:7">
      <c r="A546" s="59"/>
      <c r="B546" s="54"/>
      <c r="C546" s="57"/>
      <c r="E546" s="103"/>
      <c r="F546" s="54"/>
      <c r="G546" s="57"/>
    </row>
    <row r="547" spans="1:7">
      <c r="A547" s="59"/>
      <c r="B547" s="54"/>
      <c r="C547" s="57"/>
      <c r="E547" s="103"/>
      <c r="F547" s="54"/>
      <c r="G547" s="57"/>
    </row>
    <row r="548" spans="1:7">
      <c r="A548" s="59"/>
      <c r="B548" s="54"/>
      <c r="C548" s="57"/>
      <c r="E548" s="103"/>
      <c r="F548" s="54"/>
      <c r="G548" s="57"/>
    </row>
    <row r="549" spans="1:7">
      <c r="A549" s="59"/>
      <c r="B549" s="54"/>
      <c r="C549" s="57"/>
      <c r="E549" s="103"/>
      <c r="F549" s="54"/>
      <c r="G549" s="57"/>
    </row>
    <row r="550" spans="1:7">
      <c r="A550" s="59"/>
      <c r="B550" s="54"/>
      <c r="C550" s="57"/>
      <c r="E550" s="103"/>
      <c r="F550" s="54"/>
      <c r="G550" s="57"/>
    </row>
    <row r="551" spans="1:7">
      <c r="A551" s="59"/>
      <c r="B551" s="54"/>
      <c r="C551" s="57"/>
      <c r="E551" s="103"/>
      <c r="F551" s="54"/>
      <c r="G551" s="57"/>
    </row>
    <row r="552" spans="1:7">
      <c r="A552" s="59"/>
      <c r="B552" s="54"/>
      <c r="C552" s="57"/>
      <c r="E552" s="103"/>
      <c r="F552" s="54"/>
      <c r="G552" s="57"/>
    </row>
    <row r="553" spans="1:7">
      <c r="A553" s="59"/>
      <c r="B553" s="54"/>
      <c r="C553" s="57"/>
      <c r="E553" s="103"/>
      <c r="F553" s="54"/>
      <c r="G553" s="57"/>
    </row>
    <row r="554" spans="1:7">
      <c r="A554" s="59"/>
      <c r="B554" s="54"/>
      <c r="C554" s="57"/>
      <c r="E554" s="103"/>
      <c r="F554" s="54"/>
      <c r="G554" s="57"/>
    </row>
    <row r="555" spans="1:7">
      <c r="A555" s="59"/>
      <c r="B555" s="54"/>
      <c r="C555" s="57"/>
      <c r="E555" s="103"/>
      <c r="F555" s="54"/>
      <c r="G555" s="57"/>
    </row>
    <row r="556" spans="1:7">
      <c r="A556" s="59"/>
      <c r="B556" s="54"/>
      <c r="C556" s="57"/>
      <c r="E556" s="103"/>
      <c r="F556" s="54"/>
      <c r="G556" s="57"/>
    </row>
    <row r="557" spans="1:7">
      <c r="A557" s="59"/>
      <c r="B557" s="54"/>
      <c r="C557" s="57"/>
      <c r="E557" s="103"/>
      <c r="F557" s="54"/>
      <c r="G557" s="57"/>
    </row>
    <row r="558" spans="1:7">
      <c r="A558" s="59"/>
      <c r="B558" s="54"/>
      <c r="C558" s="57"/>
      <c r="E558" s="103"/>
      <c r="F558" s="54"/>
      <c r="G558" s="57"/>
    </row>
    <row r="559" spans="1:7">
      <c r="A559" s="59"/>
      <c r="B559" s="54"/>
      <c r="C559" s="57"/>
      <c r="E559" s="103"/>
      <c r="F559" s="54"/>
      <c r="G559" s="57"/>
    </row>
    <row r="560" spans="1:7">
      <c r="A560" s="59"/>
      <c r="B560" s="54"/>
      <c r="C560" s="57"/>
      <c r="E560" s="103"/>
      <c r="F560" s="54"/>
      <c r="G560" s="57"/>
    </row>
    <row r="561" spans="1:7">
      <c r="A561" s="59"/>
      <c r="B561" s="54"/>
      <c r="C561" s="57"/>
      <c r="E561" s="103"/>
      <c r="F561" s="54"/>
      <c r="G561" s="57"/>
    </row>
    <row r="562" spans="1:7">
      <c r="A562" s="59"/>
      <c r="B562" s="54"/>
      <c r="C562" s="57"/>
      <c r="E562" s="103"/>
      <c r="F562" s="54"/>
      <c r="G562" s="57"/>
    </row>
    <row r="563" spans="1:7">
      <c r="A563" s="59"/>
      <c r="B563" s="54"/>
      <c r="C563" s="57"/>
      <c r="E563" s="103"/>
      <c r="F563" s="54"/>
      <c r="G563" s="57"/>
    </row>
    <row r="564" spans="1:7">
      <c r="A564" s="59"/>
      <c r="B564" s="54"/>
      <c r="C564" s="57"/>
      <c r="E564" s="103"/>
      <c r="F564" s="54"/>
      <c r="G564" s="57"/>
    </row>
    <row r="565" spans="1:7">
      <c r="A565" s="59"/>
      <c r="B565" s="54"/>
      <c r="C565" s="57"/>
      <c r="E565" s="103"/>
      <c r="F565" s="54"/>
      <c r="G565" s="57"/>
    </row>
    <row r="566" spans="1:7">
      <c r="A566" s="59"/>
      <c r="B566" s="54"/>
      <c r="C566" s="57"/>
      <c r="E566" s="103"/>
      <c r="F566" s="54"/>
      <c r="G566" s="57"/>
    </row>
    <row r="567" spans="1:7">
      <c r="A567" s="59"/>
      <c r="B567" s="54"/>
      <c r="C567" s="57"/>
      <c r="E567" s="103"/>
      <c r="F567" s="54"/>
      <c r="G567" s="57"/>
    </row>
    <row r="568" spans="1:7">
      <c r="A568" s="59"/>
      <c r="B568" s="54"/>
      <c r="C568" s="57"/>
      <c r="E568" s="103"/>
      <c r="F568" s="54"/>
      <c r="G568" s="57"/>
    </row>
    <row r="569" spans="1:7">
      <c r="A569" s="59"/>
      <c r="B569" s="54"/>
      <c r="C569" s="57"/>
      <c r="E569" s="103"/>
      <c r="F569" s="54"/>
      <c r="G569" s="57"/>
    </row>
    <row r="570" spans="1:7">
      <c r="A570" s="59"/>
      <c r="B570" s="54"/>
      <c r="C570" s="57"/>
      <c r="E570" s="103"/>
      <c r="F570" s="54"/>
      <c r="G570" s="57"/>
    </row>
    <row r="571" spans="1:7">
      <c r="A571" s="59"/>
      <c r="B571" s="54"/>
      <c r="C571" s="57"/>
      <c r="E571" s="103"/>
      <c r="F571" s="54"/>
      <c r="G571" s="57"/>
    </row>
    <row r="572" spans="1:7">
      <c r="A572" s="59"/>
      <c r="B572" s="54"/>
      <c r="C572" s="57"/>
      <c r="E572" s="103"/>
      <c r="F572" s="54"/>
      <c r="G572" s="57"/>
    </row>
    <row r="573" spans="1:7">
      <c r="A573" s="59"/>
      <c r="B573" s="54"/>
      <c r="C573" s="57"/>
      <c r="E573" s="103"/>
      <c r="F573" s="54"/>
      <c r="G573" s="57"/>
    </row>
    <row r="574" spans="1:7">
      <c r="A574" s="59"/>
      <c r="B574" s="54"/>
      <c r="C574" s="57"/>
      <c r="E574" s="103"/>
      <c r="F574" s="54"/>
      <c r="G574" s="57"/>
    </row>
    <row r="575" spans="1:7">
      <c r="A575" s="59"/>
      <c r="B575" s="54"/>
      <c r="C575" s="57"/>
      <c r="E575" s="103"/>
      <c r="F575" s="54"/>
      <c r="G575" s="57"/>
    </row>
    <row r="576" spans="1:7">
      <c r="A576" s="59"/>
      <c r="B576" s="54"/>
      <c r="C576" s="57"/>
      <c r="E576" s="103"/>
      <c r="F576" s="54"/>
      <c r="G576" s="57"/>
    </row>
    <row r="577" spans="1:7">
      <c r="A577" s="59"/>
      <c r="B577" s="54"/>
      <c r="C577" s="57"/>
      <c r="E577" s="103"/>
      <c r="F577" s="54"/>
      <c r="G577" s="57"/>
    </row>
    <row r="578" spans="1:7">
      <c r="A578" s="59"/>
      <c r="B578" s="54"/>
      <c r="C578" s="57"/>
      <c r="E578" s="103"/>
      <c r="F578" s="54"/>
      <c r="G578" s="57"/>
    </row>
    <row r="579" spans="1:7">
      <c r="A579" s="59"/>
      <c r="B579" s="54"/>
      <c r="C579" s="57"/>
      <c r="E579" s="103"/>
      <c r="F579" s="54"/>
      <c r="G579" s="57"/>
    </row>
    <row r="580" spans="1:7">
      <c r="A580" s="59"/>
      <c r="B580" s="54"/>
      <c r="C580" s="57"/>
      <c r="E580" s="103"/>
      <c r="F580" s="54"/>
      <c r="G580" s="57"/>
    </row>
    <row r="581" spans="1:7">
      <c r="A581" s="59"/>
      <c r="B581" s="54"/>
      <c r="C581" s="57"/>
      <c r="E581" s="103"/>
      <c r="F581" s="54"/>
      <c r="G581" s="57"/>
    </row>
    <row r="582" spans="1:7">
      <c r="A582" s="59"/>
      <c r="B582" s="54"/>
      <c r="C582" s="57"/>
      <c r="E582" s="103"/>
      <c r="F582" s="54"/>
      <c r="G582" s="57"/>
    </row>
    <row r="583" spans="1:7">
      <c r="A583" s="59"/>
      <c r="B583" s="54"/>
      <c r="C583" s="57"/>
      <c r="E583" s="103"/>
      <c r="F583" s="54"/>
      <c r="G583" s="57"/>
    </row>
    <row r="584" spans="1:7">
      <c r="A584" s="59"/>
      <c r="B584" s="54"/>
      <c r="C584" s="57"/>
      <c r="E584" s="103"/>
      <c r="F584" s="54"/>
      <c r="G584" s="57"/>
    </row>
    <row r="585" spans="1:7">
      <c r="A585" s="59"/>
      <c r="B585" s="54"/>
      <c r="C585" s="57"/>
      <c r="E585" s="103"/>
      <c r="F585" s="54"/>
      <c r="G585" s="57"/>
    </row>
    <row r="586" spans="1:7">
      <c r="A586" s="59"/>
      <c r="B586" s="54"/>
      <c r="C586" s="57"/>
      <c r="E586" s="103"/>
      <c r="F586" s="54"/>
      <c r="G586" s="57"/>
    </row>
    <row r="587" spans="1:7">
      <c r="A587" s="59"/>
      <c r="B587" s="54"/>
      <c r="C587" s="57"/>
      <c r="E587" s="103"/>
      <c r="F587" s="54"/>
      <c r="G587" s="57"/>
    </row>
    <row r="588" spans="1:7">
      <c r="A588" s="59"/>
      <c r="B588" s="54"/>
      <c r="C588" s="57"/>
      <c r="E588" s="103"/>
      <c r="F588" s="54"/>
      <c r="G588" s="57"/>
    </row>
    <row r="589" spans="1:7">
      <c r="A589" s="59"/>
      <c r="B589" s="54"/>
      <c r="C589" s="57"/>
      <c r="E589" s="103"/>
      <c r="F589" s="54"/>
      <c r="G589" s="57"/>
    </row>
    <row r="590" spans="1:7">
      <c r="A590" s="59"/>
      <c r="B590" s="54"/>
      <c r="C590" s="57"/>
      <c r="E590" s="103"/>
      <c r="F590" s="54"/>
      <c r="G590" s="57"/>
    </row>
    <row r="591" spans="1:7">
      <c r="A591" s="59"/>
      <c r="B591" s="54"/>
      <c r="C591" s="57"/>
      <c r="E591" s="103"/>
      <c r="F591" s="54"/>
      <c r="G591" s="57"/>
    </row>
    <row r="592" spans="1:7">
      <c r="A592" s="59"/>
      <c r="B592" s="54"/>
      <c r="C592" s="57"/>
      <c r="E592" s="103"/>
      <c r="F592" s="54"/>
      <c r="G592" s="57"/>
    </row>
    <row r="593" spans="1:7">
      <c r="A593" s="59"/>
      <c r="B593" s="54"/>
      <c r="C593" s="57"/>
      <c r="E593" s="103"/>
      <c r="F593" s="54"/>
      <c r="G593" s="57"/>
    </row>
    <row r="594" spans="1:7">
      <c r="A594" s="59"/>
      <c r="B594" s="54"/>
      <c r="C594" s="57"/>
      <c r="E594" s="103"/>
      <c r="F594" s="54"/>
      <c r="G594" s="57"/>
    </row>
    <row r="595" spans="1:7">
      <c r="A595" s="59"/>
      <c r="B595" s="54"/>
      <c r="C595" s="57"/>
      <c r="E595" s="103"/>
      <c r="F595" s="54"/>
      <c r="G595" s="57"/>
    </row>
    <row r="596" spans="1:7">
      <c r="A596" s="59"/>
      <c r="B596" s="54"/>
      <c r="C596" s="57"/>
      <c r="E596" s="103"/>
      <c r="F596" s="54"/>
      <c r="G596" s="57"/>
    </row>
    <row r="597" spans="1:7">
      <c r="A597" s="59"/>
      <c r="B597" s="54"/>
      <c r="C597" s="57"/>
      <c r="E597" s="103"/>
      <c r="F597" s="54"/>
      <c r="G597" s="57"/>
    </row>
    <row r="598" spans="1:7">
      <c r="A598" s="59"/>
      <c r="B598" s="54"/>
      <c r="C598" s="57"/>
      <c r="E598" s="103"/>
      <c r="F598" s="54"/>
      <c r="G598" s="57"/>
    </row>
    <row r="599" spans="1:7">
      <c r="A599" s="59"/>
      <c r="B599" s="54"/>
      <c r="C599" s="57"/>
      <c r="E599" s="103"/>
      <c r="F599" s="54"/>
      <c r="G599" s="57"/>
    </row>
    <row r="600" spans="1:7">
      <c r="A600" s="59"/>
      <c r="B600" s="54"/>
      <c r="C600" s="57"/>
      <c r="E600" s="103"/>
      <c r="F600" s="54"/>
      <c r="G600" s="57"/>
    </row>
    <row r="601" spans="1:7">
      <c r="A601" s="59"/>
      <c r="B601" s="54"/>
      <c r="C601" s="57"/>
      <c r="E601" s="103"/>
      <c r="F601" s="54"/>
      <c r="G601" s="57"/>
    </row>
    <row r="602" spans="1:7">
      <c r="A602" s="59"/>
      <c r="B602" s="54"/>
      <c r="C602" s="57"/>
      <c r="E602" s="103"/>
      <c r="F602" s="54"/>
      <c r="G602" s="57"/>
    </row>
    <row r="603" spans="1:7">
      <c r="A603" s="59"/>
      <c r="B603" s="54"/>
      <c r="C603" s="57"/>
      <c r="E603" s="103"/>
      <c r="F603" s="54"/>
      <c r="G603" s="57"/>
    </row>
    <row r="604" spans="1:7">
      <c r="A604" s="59"/>
      <c r="B604" s="54"/>
      <c r="C604" s="57"/>
      <c r="E604" s="103"/>
      <c r="F604" s="54"/>
      <c r="G604" s="57"/>
    </row>
    <row r="605" spans="1:7">
      <c r="A605" s="59"/>
      <c r="B605" s="54"/>
      <c r="C605" s="57"/>
      <c r="E605" s="103"/>
      <c r="F605" s="54"/>
      <c r="G605" s="57"/>
    </row>
    <row r="606" spans="1:7">
      <c r="A606" s="59"/>
      <c r="B606" s="54"/>
      <c r="C606" s="57"/>
      <c r="E606" s="103"/>
      <c r="F606" s="54"/>
      <c r="G606" s="57"/>
    </row>
    <row r="607" spans="1:7">
      <c r="A607" s="59"/>
      <c r="B607" s="54"/>
      <c r="C607" s="57"/>
      <c r="E607" s="103"/>
      <c r="F607" s="54"/>
      <c r="G607" s="57"/>
    </row>
    <row r="608" spans="1:7">
      <c r="A608" s="59"/>
      <c r="B608" s="54"/>
      <c r="C608" s="57"/>
      <c r="E608" s="103"/>
      <c r="F608" s="54"/>
      <c r="G608" s="57"/>
    </row>
    <row r="609" spans="1:7">
      <c r="A609" s="59"/>
      <c r="B609" s="54"/>
      <c r="C609" s="57"/>
      <c r="E609" s="103"/>
      <c r="F609" s="54"/>
      <c r="G609" s="57"/>
    </row>
    <row r="610" spans="1:7">
      <c r="A610" s="59"/>
      <c r="B610" s="54"/>
      <c r="C610" s="57"/>
      <c r="E610" s="103"/>
      <c r="F610" s="54"/>
      <c r="G610" s="57"/>
    </row>
    <row r="611" spans="1:7">
      <c r="A611" s="59"/>
      <c r="B611" s="54"/>
      <c r="C611" s="57"/>
      <c r="E611" s="103"/>
      <c r="F611" s="54"/>
      <c r="G611" s="57"/>
    </row>
    <row r="612" spans="1:7">
      <c r="A612" s="59"/>
      <c r="B612" s="54"/>
      <c r="C612" s="57"/>
      <c r="E612" s="103"/>
      <c r="F612" s="54"/>
      <c r="G612" s="57"/>
    </row>
    <row r="613" spans="1:7">
      <c r="A613" s="59"/>
      <c r="B613" s="54"/>
      <c r="C613" s="57"/>
      <c r="E613" s="103"/>
      <c r="F613" s="54"/>
      <c r="G613" s="57"/>
    </row>
    <row r="614" spans="1:7">
      <c r="A614" s="59"/>
      <c r="B614" s="54"/>
      <c r="C614" s="57"/>
      <c r="E614" s="103"/>
      <c r="F614" s="54"/>
      <c r="G614" s="57"/>
    </row>
    <row r="615" spans="1:7">
      <c r="A615" s="59"/>
      <c r="B615" s="54"/>
      <c r="C615" s="57"/>
      <c r="E615" s="103"/>
      <c r="F615" s="54"/>
      <c r="G615" s="57"/>
    </row>
    <row r="616" spans="1:7">
      <c r="A616" s="59"/>
      <c r="B616" s="54"/>
      <c r="C616" s="57"/>
      <c r="E616" s="103"/>
      <c r="F616" s="54"/>
      <c r="G616" s="57"/>
    </row>
    <row r="617" spans="1:7">
      <c r="A617" s="59"/>
      <c r="B617" s="54"/>
      <c r="C617" s="57"/>
      <c r="E617" s="103"/>
      <c r="F617" s="54"/>
      <c r="G617" s="57"/>
    </row>
    <row r="618" spans="1:7">
      <c r="A618" s="59"/>
      <c r="B618" s="54"/>
      <c r="C618" s="57"/>
      <c r="E618" s="103"/>
      <c r="F618" s="54"/>
      <c r="G618" s="57"/>
    </row>
    <row r="619" spans="1:7">
      <c r="A619" s="59"/>
      <c r="B619" s="54"/>
      <c r="C619" s="57"/>
      <c r="E619" s="103"/>
      <c r="F619" s="54"/>
      <c r="G619" s="57"/>
    </row>
    <row r="620" spans="1:7">
      <c r="A620" s="59"/>
      <c r="B620" s="54"/>
      <c r="C620" s="57"/>
      <c r="E620" s="103"/>
      <c r="F620" s="54"/>
      <c r="G620" s="57"/>
    </row>
    <row r="621" spans="1:7">
      <c r="A621" s="59"/>
      <c r="B621" s="54"/>
      <c r="C621" s="57"/>
      <c r="E621" s="103"/>
      <c r="F621" s="54"/>
      <c r="G621" s="57"/>
    </row>
    <row r="622" spans="1:7">
      <c r="A622" s="59"/>
      <c r="B622" s="54"/>
      <c r="C622" s="57"/>
      <c r="E622" s="103"/>
      <c r="F622" s="54"/>
      <c r="G622" s="57"/>
    </row>
    <row r="623" spans="1:7">
      <c r="A623" s="59"/>
      <c r="B623" s="54"/>
      <c r="C623" s="57"/>
      <c r="E623" s="103"/>
      <c r="F623" s="54"/>
      <c r="G623" s="57"/>
    </row>
    <row r="624" spans="1:7">
      <c r="A624" s="59"/>
      <c r="B624" s="54"/>
      <c r="C624" s="57"/>
      <c r="E624" s="103"/>
      <c r="F624" s="54"/>
      <c r="G624" s="57"/>
    </row>
    <row r="625" spans="1:7">
      <c r="A625" s="59"/>
      <c r="B625" s="54"/>
      <c r="C625" s="57"/>
      <c r="E625" s="103"/>
      <c r="F625" s="54"/>
      <c r="G625" s="57"/>
    </row>
    <row r="626" spans="1:7">
      <c r="A626" s="59"/>
      <c r="B626" s="54"/>
      <c r="C626" s="57"/>
      <c r="E626" s="103"/>
      <c r="F626" s="54"/>
      <c r="G626" s="57"/>
    </row>
    <row r="627" spans="1:7">
      <c r="A627" s="59"/>
      <c r="B627" s="54"/>
      <c r="C627" s="57"/>
      <c r="E627" s="103"/>
      <c r="F627" s="54"/>
      <c r="G627" s="57"/>
    </row>
    <row r="628" spans="1:7">
      <c r="A628" s="59"/>
      <c r="B628" s="54"/>
      <c r="C628" s="57"/>
      <c r="E628" s="103"/>
      <c r="F628" s="54"/>
      <c r="G628" s="57"/>
    </row>
    <row r="629" spans="1:7">
      <c r="A629" s="59"/>
      <c r="B629" s="54"/>
      <c r="C629" s="57"/>
      <c r="E629" s="103"/>
      <c r="F629" s="54"/>
      <c r="G629" s="57"/>
    </row>
    <row r="630" spans="1:7">
      <c r="A630" s="59"/>
      <c r="B630" s="54"/>
      <c r="C630" s="57"/>
      <c r="E630" s="103"/>
      <c r="F630" s="54"/>
      <c r="G630" s="57"/>
    </row>
    <row r="631" spans="1:7">
      <c r="A631" s="59"/>
      <c r="B631" s="54"/>
      <c r="C631" s="57"/>
      <c r="E631" s="103"/>
      <c r="F631" s="54"/>
      <c r="G631" s="57"/>
    </row>
    <row r="632" spans="1:7">
      <c r="A632" s="59"/>
      <c r="B632" s="54"/>
      <c r="C632" s="57"/>
      <c r="E632" s="103"/>
      <c r="F632" s="54"/>
      <c r="G632" s="57"/>
    </row>
    <row r="633" spans="1:7">
      <c r="A633" s="59"/>
      <c r="B633" s="54"/>
      <c r="C633" s="57"/>
      <c r="E633" s="103"/>
      <c r="F633" s="54"/>
      <c r="G633" s="57"/>
    </row>
    <row r="634" spans="1:7">
      <c r="A634" s="59"/>
      <c r="B634" s="54"/>
      <c r="C634" s="57"/>
      <c r="E634" s="103"/>
      <c r="F634" s="54"/>
      <c r="G634" s="57"/>
    </row>
    <row r="635" spans="1:7">
      <c r="A635" s="59"/>
      <c r="B635" s="54"/>
      <c r="C635" s="57"/>
      <c r="E635" s="103"/>
      <c r="F635" s="54"/>
      <c r="G635" s="57"/>
    </row>
    <row r="636" spans="1:7">
      <c r="A636" s="59"/>
      <c r="B636" s="54"/>
      <c r="C636" s="57"/>
      <c r="E636" s="103"/>
      <c r="F636" s="54"/>
      <c r="G636" s="57"/>
    </row>
    <row r="637" spans="1:7">
      <c r="A637" s="59"/>
      <c r="B637" s="54"/>
      <c r="C637" s="57"/>
      <c r="E637" s="103"/>
      <c r="F637" s="54"/>
      <c r="G637" s="57"/>
    </row>
    <row r="638" spans="1:7">
      <c r="A638" s="59"/>
      <c r="B638" s="54"/>
      <c r="C638" s="57"/>
      <c r="E638" s="103"/>
      <c r="F638" s="54"/>
      <c r="G638" s="57"/>
    </row>
    <row r="639" spans="1:7">
      <c r="A639" s="59"/>
      <c r="B639" s="54"/>
      <c r="C639" s="57"/>
      <c r="E639" s="103"/>
      <c r="F639" s="54"/>
      <c r="G639" s="57"/>
    </row>
    <row r="640" spans="1:7">
      <c r="A640" s="59"/>
      <c r="B640" s="54"/>
      <c r="C640" s="57"/>
      <c r="E640" s="103"/>
      <c r="F640" s="54"/>
      <c r="G640" s="57"/>
    </row>
    <row r="641" spans="1:7">
      <c r="A641" s="59"/>
      <c r="B641" s="54"/>
      <c r="C641" s="57"/>
      <c r="E641" s="103"/>
      <c r="F641" s="54"/>
      <c r="G641" s="57"/>
    </row>
    <row r="642" spans="1:7">
      <c r="A642" s="59"/>
      <c r="B642" s="54"/>
      <c r="C642" s="57"/>
      <c r="E642" s="103"/>
      <c r="F642" s="54"/>
      <c r="G642" s="57"/>
    </row>
    <row r="643" spans="1:7">
      <c r="A643" s="59"/>
      <c r="B643" s="54"/>
      <c r="C643" s="57"/>
      <c r="E643" s="103"/>
      <c r="F643" s="54"/>
      <c r="G643" s="57"/>
    </row>
    <row r="644" spans="1:7">
      <c r="A644" s="59"/>
      <c r="B644" s="54"/>
      <c r="C644" s="57"/>
      <c r="E644" s="103"/>
      <c r="F644" s="54"/>
      <c r="G644" s="57"/>
    </row>
    <row r="645" spans="1:7">
      <c r="A645" s="59"/>
      <c r="B645" s="54"/>
      <c r="C645" s="57"/>
      <c r="E645" s="103"/>
      <c r="F645" s="54"/>
      <c r="G645" s="57"/>
    </row>
    <row r="646" spans="1:7">
      <c r="A646" s="59"/>
      <c r="B646" s="54"/>
      <c r="C646" s="57"/>
      <c r="E646" s="103"/>
      <c r="F646" s="54"/>
      <c r="G646" s="57"/>
    </row>
    <row r="647" spans="1:7">
      <c r="A647" s="59"/>
      <c r="B647" s="54"/>
      <c r="C647" s="57"/>
      <c r="E647" s="103"/>
      <c r="F647" s="54"/>
      <c r="G647" s="57"/>
    </row>
    <row r="648" spans="1:7">
      <c r="A648" s="59"/>
      <c r="B648" s="54"/>
      <c r="C648" s="57"/>
      <c r="E648" s="103"/>
      <c r="F648" s="54"/>
      <c r="G648" s="57"/>
    </row>
    <row r="649" spans="1:7">
      <c r="A649" s="59"/>
      <c r="B649" s="54"/>
      <c r="C649" s="57"/>
      <c r="E649" s="103"/>
      <c r="F649" s="54"/>
      <c r="G649" s="57"/>
    </row>
    <row r="650" spans="1:7">
      <c r="A650" s="59"/>
      <c r="B650" s="54"/>
      <c r="C650" s="57"/>
      <c r="E650" s="103"/>
      <c r="F650" s="54"/>
      <c r="G650" s="57"/>
    </row>
    <row r="651" spans="1:7">
      <c r="A651" s="59"/>
      <c r="B651" s="54"/>
      <c r="C651" s="57"/>
      <c r="E651" s="103"/>
      <c r="F651" s="54"/>
      <c r="G651" s="57"/>
    </row>
    <row r="652" spans="1:7">
      <c r="A652" s="59"/>
      <c r="B652" s="54"/>
      <c r="C652" s="57"/>
      <c r="E652" s="103"/>
      <c r="F652" s="54"/>
      <c r="G652" s="57"/>
    </row>
    <row r="653" spans="1:7">
      <c r="A653" s="59"/>
      <c r="B653" s="54"/>
      <c r="C653" s="57"/>
      <c r="E653" s="103"/>
      <c r="F653" s="54"/>
      <c r="G653" s="57"/>
    </row>
    <row r="654" spans="1:7">
      <c r="A654" s="59"/>
      <c r="B654" s="54"/>
      <c r="C654" s="57"/>
      <c r="E654" s="103"/>
      <c r="F654" s="54"/>
      <c r="G654" s="57"/>
    </row>
    <row r="655" spans="1:7">
      <c r="A655" s="59"/>
      <c r="B655" s="54"/>
      <c r="C655" s="57"/>
      <c r="E655" s="103"/>
      <c r="F655" s="54"/>
      <c r="G655" s="57"/>
    </row>
    <row r="656" spans="1:7">
      <c r="A656" s="59"/>
      <c r="B656" s="54"/>
      <c r="C656" s="57"/>
      <c r="E656" s="103"/>
      <c r="F656" s="54"/>
      <c r="G656" s="57"/>
    </row>
    <row r="657" spans="1:7">
      <c r="A657" s="59"/>
      <c r="B657" s="54"/>
      <c r="C657" s="57"/>
      <c r="E657" s="103"/>
      <c r="F657" s="54"/>
      <c r="G657" s="57"/>
    </row>
    <row r="658" spans="1:7">
      <c r="A658" s="59"/>
      <c r="B658" s="54"/>
      <c r="C658" s="57"/>
      <c r="E658" s="103"/>
      <c r="F658" s="54"/>
      <c r="G658" s="57"/>
    </row>
    <row r="659" spans="1:7">
      <c r="A659" s="59"/>
      <c r="B659" s="54"/>
      <c r="C659" s="57"/>
      <c r="E659" s="103"/>
      <c r="F659" s="54"/>
      <c r="G659" s="57"/>
    </row>
    <row r="660" spans="1:7">
      <c r="A660" s="59"/>
      <c r="B660" s="54"/>
      <c r="C660" s="57"/>
      <c r="E660" s="103"/>
      <c r="F660" s="54"/>
      <c r="G660" s="57"/>
    </row>
    <row r="661" spans="1:7">
      <c r="A661" s="59"/>
      <c r="B661" s="54"/>
      <c r="C661" s="57"/>
      <c r="E661" s="103"/>
      <c r="F661" s="54"/>
      <c r="G661" s="57"/>
    </row>
    <row r="662" spans="1:7">
      <c r="A662" s="59"/>
      <c r="B662" s="54"/>
      <c r="C662" s="57"/>
      <c r="E662" s="103"/>
      <c r="F662" s="54"/>
      <c r="G662" s="57"/>
    </row>
    <row r="663" spans="1:7">
      <c r="A663" s="59"/>
      <c r="B663" s="54"/>
      <c r="C663" s="57"/>
      <c r="E663" s="103"/>
      <c r="F663" s="54"/>
      <c r="G663" s="57"/>
    </row>
    <row r="664" spans="1:7">
      <c r="A664" s="59"/>
      <c r="B664" s="54"/>
      <c r="C664" s="57"/>
      <c r="E664" s="103"/>
      <c r="F664" s="54"/>
      <c r="G664" s="57"/>
    </row>
    <row r="665" spans="1:7">
      <c r="A665" s="59"/>
      <c r="B665" s="54"/>
      <c r="C665" s="57"/>
      <c r="E665" s="103"/>
      <c r="F665" s="54"/>
      <c r="G665" s="57"/>
    </row>
    <row r="666" spans="1:7">
      <c r="A666" s="59"/>
      <c r="B666" s="54"/>
      <c r="C666" s="57"/>
      <c r="E666" s="103"/>
      <c r="F666" s="54"/>
      <c r="G666" s="57"/>
    </row>
    <row r="667" spans="1:7">
      <c r="A667" s="59"/>
      <c r="B667" s="54"/>
      <c r="C667" s="57"/>
      <c r="E667" s="103"/>
      <c r="F667" s="54"/>
      <c r="G667" s="57"/>
    </row>
    <row r="668" spans="1:7">
      <c r="A668" s="59"/>
      <c r="B668" s="54"/>
      <c r="C668" s="57"/>
      <c r="E668" s="103"/>
      <c r="F668" s="54"/>
      <c r="G668" s="57"/>
    </row>
    <row r="669" spans="1:7">
      <c r="A669" s="59"/>
      <c r="B669" s="54"/>
      <c r="C669" s="57"/>
      <c r="E669" s="103"/>
      <c r="F669" s="54"/>
      <c r="G669" s="57"/>
    </row>
    <row r="670" spans="1:7">
      <c r="A670" s="59"/>
      <c r="B670" s="54"/>
      <c r="C670" s="57"/>
      <c r="E670" s="103"/>
      <c r="F670" s="54"/>
      <c r="G670" s="57"/>
    </row>
    <row r="671" spans="1:7">
      <c r="A671" s="59"/>
      <c r="B671" s="54"/>
      <c r="C671" s="57"/>
      <c r="E671" s="103"/>
      <c r="F671" s="54"/>
      <c r="G671" s="57"/>
    </row>
    <row r="672" spans="1:7">
      <c r="A672" s="59"/>
      <c r="B672" s="54"/>
      <c r="C672" s="57"/>
      <c r="E672" s="103"/>
      <c r="F672" s="54"/>
      <c r="G672" s="57"/>
    </row>
    <row r="673" spans="1:7">
      <c r="A673" s="59"/>
      <c r="B673" s="54"/>
      <c r="C673" s="57"/>
      <c r="E673" s="103"/>
      <c r="F673" s="54"/>
      <c r="G673" s="57"/>
    </row>
    <row r="674" spans="1:7">
      <c r="A674" s="59"/>
      <c r="B674" s="54"/>
      <c r="C674" s="57"/>
      <c r="E674" s="103"/>
      <c r="F674" s="54"/>
      <c r="G674" s="57"/>
    </row>
    <row r="675" spans="1:7">
      <c r="A675" s="59"/>
      <c r="B675" s="54"/>
      <c r="C675" s="57"/>
      <c r="E675" s="103"/>
      <c r="F675" s="54"/>
      <c r="G675" s="57"/>
    </row>
    <row r="676" spans="1:7">
      <c r="A676" s="59"/>
      <c r="B676" s="54"/>
      <c r="C676" s="57"/>
      <c r="E676" s="103"/>
      <c r="F676" s="54"/>
      <c r="G676" s="57"/>
    </row>
    <row r="677" spans="1:7">
      <c r="A677" s="59"/>
      <c r="B677" s="54"/>
      <c r="C677" s="57"/>
      <c r="E677" s="103"/>
      <c r="F677" s="54"/>
      <c r="G677" s="57"/>
    </row>
    <row r="678" spans="1:7">
      <c r="A678" s="59"/>
      <c r="B678" s="54"/>
      <c r="C678" s="57"/>
      <c r="E678" s="103"/>
      <c r="F678" s="54"/>
      <c r="G678" s="57"/>
    </row>
    <row r="679" spans="1:7">
      <c r="A679" s="59"/>
      <c r="B679" s="54"/>
      <c r="C679" s="57"/>
      <c r="E679" s="103"/>
      <c r="F679" s="54"/>
      <c r="G679" s="57"/>
    </row>
    <row r="680" spans="1:7">
      <c r="A680" s="59"/>
      <c r="B680" s="54"/>
      <c r="C680" s="57"/>
      <c r="E680" s="103"/>
      <c r="F680" s="54"/>
      <c r="G680" s="57"/>
    </row>
    <row r="681" spans="1:7">
      <c r="A681" s="59"/>
      <c r="B681" s="54"/>
      <c r="C681" s="57"/>
      <c r="E681" s="103"/>
      <c r="F681" s="54"/>
      <c r="G681" s="57"/>
    </row>
    <row r="682" spans="1:7">
      <c r="A682" s="59"/>
      <c r="B682" s="54"/>
      <c r="C682" s="57"/>
      <c r="E682" s="103"/>
      <c r="F682" s="54"/>
      <c r="G682" s="57"/>
    </row>
    <row r="683" spans="1:7">
      <c r="A683" s="59"/>
      <c r="B683" s="54"/>
      <c r="C683" s="57"/>
      <c r="E683" s="103"/>
      <c r="F683" s="54"/>
      <c r="G683" s="57"/>
    </row>
    <row r="684" spans="1:7">
      <c r="A684" s="59"/>
      <c r="B684" s="54"/>
      <c r="C684" s="57"/>
      <c r="E684" s="103"/>
      <c r="F684" s="54"/>
      <c r="G684" s="57"/>
    </row>
    <row r="685" spans="1:7">
      <c r="A685" s="59"/>
      <c r="B685" s="54"/>
      <c r="C685" s="57"/>
      <c r="E685" s="103"/>
      <c r="F685" s="54"/>
      <c r="G685" s="57"/>
    </row>
    <row r="686" spans="1:7">
      <c r="A686" s="59"/>
      <c r="B686" s="54"/>
      <c r="C686" s="57"/>
      <c r="E686" s="103"/>
      <c r="F686" s="54"/>
      <c r="G686" s="57"/>
    </row>
    <row r="687" spans="1:7">
      <c r="A687" s="59"/>
      <c r="B687" s="54"/>
      <c r="C687" s="57"/>
      <c r="E687" s="103"/>
      <c r="F687" s="54"/>
      <c r="G687" s="57"/>
    </row>
    <row r="688" spans="1:7">
      <c r="A688" s="59"/>
      <c r="B688" s="54"/>
      <c r="C688" s="57"/>
      <c r="E688" s="103"/>
      <c r="F688" s="54"/>
      <c r="G688" s="57"/>
    </row>
    <row r="689" spans="1:7">
      <c r="A689" s="59"/>
      <c r="B689" s="54"/>
      <c r="C689" s="57"/>
      <c r="E689" s="103"/>
      <c r="F689" s="54"/>
      <c r="G689" s="57"/>
    </row>
    <row r="690" spans="1:7">
      <c r="A690" s="59"/>
      <c r="B690" s="54"/>
      <c r="C690" s="57"/>
      <c r="E690" s="103"/>
      <c r="F690" s="54"/>
      <c r="G690" s="57"/>
    </row>
    <row r="691" spans="1:7">
      <c r="A691" s="59"/>
      <c r="B691" s="54"/>
      <c r="C691" s="57"/>
      <c r="E691" s="103"/>
      <c r="F691" s="54"/>
      <c r="G691" s="57"/>
    </row>
    <row r="692" spans="1:7">
      <c r="A692" s="59"/>
      <c r="B692" s="54"/>
      <c r="C692" s="57"/>
      <c r="E692" s="103"/>
      <c r="F692" s="54"/>
      <c r="G692" s="57"/>
    </row>
    <row r="693" spans="1:7">
      <c r="A693" s="59"/>
      <c r="B693" s="54"/>
      <c r="C693" s="57"/>
      <c r="E693" s="103"/>
      <c r="F693" s="54"/>
      <c r="G693" s="57"/>
    </row>
    <row r="694" spans="1:7">
      <c r="A694" s="59"/>
      <c r="B694" s="54"/>
      <c r="C694" s="57"/>
      <c r="E694" s="103"/>
      <c r="F694" s="54"/>
      <c r="G694" s="57"/>
    </row>
    <row r="695" spans="1:7">
      <c r="A695" s="59"/>
      <c r="B695" s="54"/>
      <c r="C695" s="57"/>
      <c r="E695" s="103"/>
      <c r="F695" s="54"/>
      <c r="G695" s="57"/>
    </row>
    <row r="696" spans="1:7">
      <c r="A696" s="59"/>
      <c r="B696" s="54"/>
      <c r="C696" s="57"/>
      <c r="E696" s="103"/>
      <c r="F696" s="54"/>
      <c r="G696" s="57"/>
    </row>
    <row r="697" spans="1:7">
      <c r="A697" s="59"/>
      <c r="B697" s="54"/>
      <c r="C697" s="57"/>
      <c r="E697" s="103"/>
      <c r="F697" s="54"/>
      <c r="G697" s="57"/>
    </row>
    <row r="698" spans="1:7">
      <c r="A698" s="59"/>
      <c r="B698" s="54"/>
      <c r="C698" s="57"/>
      <c r="E698" s="103"/>
      <c r="F698" s="54"/>
      <c r="G698" s="57"/>
    </row>
    <row r="699" spans="1:7">
      <c r="A699" s="59"/>
      <c r="B699" s="54"/>
      <c r="C699" s="57"/>
      <c r="E699" s="103"/>
      <c r="F699" s="54"/>
      <c r="G699" s="57"/>
    </row>
    <row r="700" spans="1:7">
      <c r="A700" s="59"/>
      <c r="B700" s="54"/>
      <c r="C700" s="57"/>
      <c r="E700" s="103"/>
      <c r="F700" s="54"/>
      <c r="G700" s="57"/>
    </row>
    <row r="701" spans="1:7">
      <c r="A701" s="59"/>
      <c r="B701" s="54"/>
      <c r="C701" s="57"/>
      <c r="E701" s="103"/>
      <c r="F701" s="54"/>
      <c r="G701" s="57"/>
    </row>
    <row r="702" spans="1:7">
      <c r="A702" s="59"/>
      <c r="B702" s="54"/>
      <c r="C702" s="57"/>
      <c r="E702" s="103"/>
      <c r="F702" s="54"/>
      <c r="G702" s="57"/>
    </row>
    <row r="703" spans="1:7">
      <c r="A703" s="59"/>
      <c r="B703" s="54"/>
      <c r="C703" s="57"/>
      <c r="E703" s="103"/>
      <c r="F703" s="54"/>
      <c r="G703" s="57"/>
    </row>
    <row r="704" spans="1:7">
      <c r="A704" s="59"/>
      <c r="B704" s="54"/>
      <c r="C704" s="57"/>
      <c r="E704" s="103"/>
      <c r="F704" s="54"/>
      <c r="G704" s="57"/>
    </row>
    <row r="705" spans="1:7">
      <c r="A705" s="59"/>
      <c r="B705" s="54"/>
      <c r="C705" s="57"/>
      <c r="E705" s="103"/>
      <c r="F705" s="54"/>
      <c r="G705" s="57"/>
    </row>
    <row r="706" spans="1:7">
      <c r="A706" s="59"/>
      <c r="B706" s="54"/>
      <c r="C706" s="57"/>
      <c r="E706" s="103"/>
      <c r="F706" s="54"/>
      <c r="G706" s="57"/>
    </row>
    <row r="707" spans="1:7">
      <c r="A707" s="59"/>
      <c r="B707" s="54"/>
      <c r="C707" s="57"/>
      <c r="E707" s="103"/>
      <c r="F707" s="54"/>
      <c r="G707" s="57"/>
    </row>
    <row r="708" spans="1:7">
      <c r="A708" s="59"/>
      <c r="B708" s="54"/>
      <c r="C708" s="57"/>
      <c r="E708" s="103"/>
      <c r="F708" s="54"/>
      <c r="G708" s="57"/>
    </row>
    <row r="709" spans="1:7">
      <c r="A709" s="59"/>
      <c r="B709" s="54"/>
      <c r="C709" s="57"/>
      <c r="E709" s="103"/>
      <c r="F709" s="54"/>
      <c r="G709" s="57"/>
    </row>
    <row r="710" spans="1:7">
      <c r="A710" s="59"/>
      <c r="B710" s="54"/>
      <c r="C710" s="57"/>
      <c r="E710" s="103"/>
      <c r="F710" s="54"/>
      <c r="G710" s="57"/>
    </row>
    <row r="711" spans="1:7">
      <c r="A711" s="59"/>
      <c r="B711" s="54"/>
      <c r="C711" s="57"/>
      <c r="E711" s="103"/>
      <c r="F711" s="54"/>
      <c r="G711" s="57"/>
    </row>
    <row r="712" spans="1:7">
      <c r="A712" s="59"/>
      <c r="B712" s="54"/>
      <c r="C712" s="57"/>
      <c r="E712" s="103"/>
      <c r="F712" s="54"/>
      <c r="G712" s="57"/>
    </row>
    <row r="713" spans="1:7">
      <c r="A713" s="59"/>
      <c r="B713" s="54"/>
      <c r="C713" s="57"/>
      <c r="E713" s="103"/>
      <c r="F713" s="54"/>
      <c r="G713" s="57"/>
    </row>
    <row r="714" spans="1:7">
      <c r="A714" s="59"/>
      <c r="B714" s="54"/>
      <c r="C714" s="57"/>
      <c r="E714" s="103"/>
      <c r="F714" s="54"/>
      <c r="G714" s="57"/>
    </row>
    <row r="715" spans="1:7">
      <c r="A715" s="59"/>
      <c r="B715" s="54"/>
      <c r="C715" s="57"/>
      <c r="E715" s="103"/>
      <c r="F715" s="54"/>
      <c r="G715" s="57"/>
    </row>
    <row r="716" spans="1:7">
      <c r="A716" s="59"/>
      <c r="B716" s="54"/>
      <c r="C716" s="57"/>
      <c r="E716" s="103"/>
      <c r="F716" s="54"/>
      <c r="G716" s="57"/>
    </row>
    <row r="717" spans="1:7">
      <c r="A717" s="59"/>
      <c r="B717" s="54"/>
      <c r="C717" s="57"/>
      <c r="E717" s="103"/>
      <c r="F717" s="54"/>
      <c r="G717" s="57"/>
    </row>
    <row r="718" spans="1:7">
      <c r="A718" s="59"/>
      <c r="B718" s="54"/>
      <c r="C718" s="57"/>
      <c r="E718" s="103"/>
      <c r="F718" s="54"/>
      <c r="G718" s="57"/>
    </row>
    <row r="719" spans="1:7">
      <c r="A719" s="59"/>
      <c r="B719" s="54"/>
      <c r="C719" s="57"/>
      <c r="E719" s="103"/>
      <c r="F719" s="54"/>
      <c r="G719" s="57"/>
    </row>
    <row r="720" spans="1:7">
      <c r="A720" s="59"/>
      <c r="B720" s="54"/>
      <c r="C720" s="57"/>
      <c r="E720" s="103"/>
      <c r="F720" s="54"/>
      <c r="G720" s="57"/>
    </row>
    <row r="721" spans="1:7">
      <c r="A721" s="59"/>
      <c r="B721" s="54"/>
      <c r="C721" s="57"/>
      <c r="E721" s="103"/>
      <c r="F721" s="54"/>
      <c r="G721" s="57"/>
    </row>
    <row r="722" spans="1:7">
      <c r="A722" s="59"/>
      <c r="B722" s="54"/>
      <c r="C722" s="57"/>
      <c r="E722" s="103"/>
      <c r="F722" s="54"/>
      <c r="G722" s="57"/>
    </row>
    <row r="723" spans="1:7">
      <c r="A723" s="59"/>
      <c r="B723" s="54"/>
      <c r="C723" s="57"/>
      <c r="E723" s="103"/>
      <c r="F723" s="54"/>
      <c r="G723" s="57"/>
    </row>
    <row r="724" spans="1:7">
      <c r="A724" s="59"/>
      <c r="B724" s="54"/>
      <c r="C724" s="57"/>
      <c r="E724" s="103"/>
      <c r="F724" s="54"/>
      <c r="G724" s="57"/>
    </row>
    <row r="725" spans="1:7">
      <c r="A725" s="59"/>
      <c r="B725" s="54"/>
      <c r="C725" s="57"/>
      <c r="E725" s="103"/>
      <c r="F725" s="54"/>
      <c r="G725" s="57"/>
    </row>
    <row r="726" spans="1:7">
      <c r="A726" s="59"/>
      <c r="B726" s="54"/>
      <c r="C726" s="57"/>
      <c r="E726" s="103"/>
      <c r="F726" s="54"/>
      <c r="G726" s="57"/>
    </row>
    <row r="727" spans="1:7">
      <c r="A727" s="59"/>
      <c r="B727" s="54"/>
      <c r="C727" s="57"/>
      <c r="E727" s="103"/>
      <c r="F727" s="54"/>
      <c r="G727" s="57"/>
    </row>
    <row r="728" spans="1:7">
      <c r="A728" s="59"/>
      <c r="B728" s="54"/>
      <c r="C728" s="57"/>
      <c r="E728" s="103"/>
      <c r="F728" s="54"/>
      <c r="G728" s="57"/>
    </row>
    <row r="729" spans="1:7">
      <c r="A729" s="59"/>
      <c r="B729" s="54"/>
      <c r="C729" s="57"/>
      <c r="E729" s="103"/>
      <c r="F729" s="54"/>
      <c r="G729" s="57"/>
    </row>
    <row r="730" spans="1:7">
      <c r="A730" s="59"/>
      <c r="B730" s="54"/>
      <c r="C730" s="57"/>
      <c r="E730" s="103"/>
      <c r="F730" s="54"/>
      <c r="G730" s="57"/>
    </row>
    <row r="731" spans="1:7">
      <c r="A731" s="59"/>
      <c r="B731" s="54"/>
      <c r="C731" s="57"/>
      <c r="E731" s="103"/>
      <c r="F731" s="54"/>
      <c r="G731" s="57"/>
    </row>
    <row r="732" spans="1:7">
      <c r="A732" s="59"/>
      <c r="B732" s="54"/>
      <c r="C732" s="57"/>
      <c r="E732" s="103"/>
      <c r="F732" s="54"/>
      <c r="G732" s="57"/>
    </row>
    <row r="733" spans="1:7">
      <c r="A733" s="59"/>
      <c r="B733" s="54"/>
      <c r="C733" s="57"/>
      <c r="E733" s="103"/>
      <c r="F733" s="54"/>
      <c r="G733" s="57"/>
    </row>
    <row r="734" spans="1:7">
      <c r="A734" s="59"/>
      <c r="B734" s="54"/>
      <c r="C734" s="57"/>
      <c r="E734" s="103"/>
      <c r="F734" s="54"/>
      <c r="G734" s="57"/>
    </row>
    <row r="735" spans="1:7">
      <c r="A735" s="59"/>
      <c r="B735" s="54"/>
      <c r="C735" s="57"/>
      <c r="E735" s="103"/>
      <c r="F735" s="54"/>
      <c r="G735" s="57"/>
    </row>
    <row r="736" spans="1:7">
      <c r="A736" s="59"/>
      <c r="B736" s="54"/>
      <c r="C736" s="57"/>
      <c r="E736" s="103"/>
      <c r="F736" s="54"/>
      <c r="G736" s="57"/>
    </row>
    <row r="737" spans="1:7">
      <c r="A737" s="59"/>
      <c r="B737" s="54"/>
      <c r="C737" s="57"/>
      <c r="E737" s="103"/>
      <c r="F737" s="54"/>
      <c r="G737" s="57"/>
    </row>
    <row r="738" spans="1:7">
      <c r="A738" s="59"/>
      <c r="B738" s="54"/>
      <c r="C738" s="57"/>
      <c r="E738" s="103"/>
      <c r="F738" s="54"/>
      <c r="G738" s="57"/>
    </row>
    <row r="739" spans="1:7">
      <c r="A739" s="59"/>
      <c r="B739" s="54"/>
      <c r="C739" s="57"/>
      <c r="E739" s="103"/>
      <c r="F739" s="54"/>
      <c r="G739" s="57"/>
    </row>
    <row r="740" spans="1:7">
      <c r="A740" s="59"/>
      <c r="B740" s="54"/>
      <c r="C740" s="57"/>
      <c r="E740" s="103"/>
      <c r="F740" s="54"/>
      <c r="G740" s="57"/>
    </row>
    <row r="741" spans="1:7">
      <c r="A741" s="59"/>
      <c r="B741" s="54"/>
      <c r="C741" s="57"/>
      <c r="E741" s="103"/>
      <c r="F741" s="54"/>
      <c r="G741" s="57"/>
    </row>
    <row r="742" spans="1:7">
      <c r="A742" s="59"/>
      <c r="B742" s="54"/>
      <c r="C742" s="57"/>
      <c r="E742" s="103"/>
      <c r="F742" s="54"/>
      <c r="G742" s="57"/>
    </row>
    <row r="743" spans="1:7">
      <c r="A743" s="59"/>
      <c r="B743" s="54"/>
      <c r="C743" s="57"/>
      <c r="E743" s="103"/>
      <c r="F743" s="54"/>
      <c r="G743" s="57"/>
    </row>
    <row r="744" spans="1:7">
      <c r="A744" s="59"/>
      <c r="B744" s="54"/>
      <c r="C744" s="57"/>
      <c r="E744" s="103"/>
      <c r="F744" s="54"/>
      <c r="G744" s="57"/>
    </row>
    <row r="745" spans="1:7">
      <c r="A745" s="59"/>
      <c r="B745" s="54"/>
      <c r="C745" s="57"/>
      <c r="E745" s="103"/>
      <c r="F745" s="54"/>
      <c r="G745" s="57"/>
    </row>
    <row r="746" spans="1:7">
      <c r="A746" s="59"/>
      <c r="B746" s="54"/>
      <c r="C746" s="57"/>
      <c r="E746" s="103"/>
      <c r="F746" s="54"/>
      <c r="G746" s="57"/>
    </row>
    <row r="747" spans="1:7">
      <c r="A747" s="59"/>
      <c r="B747" s="54"/>
      <c r="C747" s="57"/>
      <c r="E747" s="103"/>
      <c r="F747" s="54"/>
      <c r="G747" s="57"/>
    </row>
    <row r="748" spans="1:7">
      <c r="A748" s="59"/>
      <c r="B748" s="54"/>
      <c r="C748" s="57"/>
      <c r="E748" s="103"/>
      <c r="F748" s="54"/>
      <c r="G748" s="57"/>
    </row>
    <row r="749" spans="1:7">
      <c r="A749" s="59"/>
      <c r="B749" s="54"/>
      <c r="C749" s="57"/>
      <c r="E749" s="103"/>
      <c r="F749" s="54"/>
      <c r="G749" s="57"/>
    </row>
    <row r="750" spans="1:7">
      <c r="A750" s="59"/>
      <c r="B750" s="54"/>
      <c r="C750" s="57"/>
      <c r="E750" s="103"/>
      <c r="F750" s="54"/>
      <c r="G750" s="57"/>
    </row>
    <row r="751" spans="1:7">
      <c r="A751" s="59"/>
      <c r="B751" s="54"/>
      <c r="C751" s="57"/>
      <c r="E751" s="103"/>
      <c r="F751" s="54"/>
      <c r="G751" s="57"/>
    </row>
    <row r="752" spans="1:7">
      <c r="A752" s="59"/>
      <c r="B752" s="54"/>
      <c r="C752" s="57"/>
      <c r="E752" s="103"/>
      <c r="F752" s="54"/>
      <c r="G752" s="57"/>
    </row>
    <row r="753" spans="1:7">
      <c r="A753" s="59"/>
      <c r="B753" s="54"/>
      <c r="C753" s="57"/>
      <c r="E753" s="103"/>
      <c r="F753" s="54"/>
      <c r="G753" s="57"/>
    </row>
    <row r="754" spans="1:7">
      <c r="A754" s="59"/>
      <c r="B754" s="54"/>
      <c r="C754" s="57"/>
      <c r="E754" s="103"/>
      <c r="F754" s="54"/>
      <c r="G754" s="57"/>
    </row>
    <row r="755" spans="1:7">
      <c r="A755" s="59"/>
      <c r="B755" s="54"/>
      <c r="C755" s="57"/>
      <c r="E755" s="103"/>
      <c r="F755" s="54"/>
      <c r="G755" s="57"/>
    </row>
    <row r="756" spans="1:7">
      <c r="A756" s="59"/>
      <c r="B756" s="54"/>
      <c r="C756" s="57"/>
      <c r="E756" s="103"/>
      <c r="F756" s="54"/>
      <c r="G756" s="57"/>
    </row>
    <row r="757" spans="1:7">
      <c r="A757" s="59"/>
      <c r="B757" s="54"/>
      <c r="C757" s="57"/>
      <c r="E757" s="103"/>
      <c r="F757" s="54"/>
      <c r="G757" s="57"/>
    </row>
    <row r="758" spans="1:7">
      <c r="A758" s="59"/>
      <c r="B758" s="54"/>
      <c r="C758" s="57"/>
      <c r="E758" s="103"/>
      <c r="F758" s="54"/>
      <c r="G758" s="57"/>
    </row>
    <row r="759" spans="1:7">
      <c r="A759" s="59"/>
      <c r="B759" s="54"/>
      <c r="C759" s="57"/>
      <c r="E759" s="103"/>
      <c r="F759" s="54"/>
      <c r="G759" s="57"/>
    </row>
    <row r="760" spans="1:7">
      <c r="A760" s="59"/>
      <c r="B760" s="54"/>
      <c r="C760" s="57"/>
      <c r="E760" s="103"/>
      <c r="F760" s="54"/>
      <c r="G760" s="57"/>
    </row>
    <row r="761" spans="1:7">
      <c r="A761" s="59"/>
      <c r="B761" s="54"/>
      <c r="C761" s="57"/>
      <c r="E761" s="103"/>
      <c r="F761" s="54"/>
      <c r="G761" s="57"/>
    </row>
    <row r="762" spans="1:7">
      <c r="A762" s="59"/>
      <c r="B762" s="54"/>
      <c r="C762" s="57"/>
      <c r="E762" s="103"/>
      <c r="F762" s="54"/>
      <c r="G762" s="57"/>
    </row>
    <row r="763" spans="1:7">
      <c r="A763" s="59"/>
      <c r="B763" s="54"/>
      <c r="C763" s="57"/>
      <c r="E763" s="103"/>
      <c r="F763" s="54"/>
      <c r="G763" s="57"/>
    </row>
    <row r="764" spans="1:7">
      <c r="A764" s="59"/>
      <c r="B764" s="54"/>
      <c r="C764" s="57"/>
      <c r="E764" s="103"/>
      <c r="F764" s="54"/>
      <c r="G764" s="57"/>
    </row>
    <row r="765" spans="1:7">
      <c r="A765" s="59"/>
      <c r="B765" s="54"/>
      <c r="C765" s="57"/>
      <c r="E765" s="103"/>
      <c r="F765" s="54"/>
      <c r="G765" s="57"/>
    </row>
    <row r="766" spans="1:7">
      <c r="A766" s="59"/>
      <c r="B766" s="54"/>
      <c r="C766" s="57"/>
      <c r="E766" s="103"/>
      <c r="F766" s="54"/>
      <c r="G766" s="57"/>
    </row>
    <row r="767" spans="1:7">
      <c r="A767" s="59"/>
      <c r="B767" s="54"/>
      <c r="C767" s="57"/>
      <c r="E767" s="103"/>
      <c r="F767" s="54"/>
      <c r="G767" s="57"/>
    </row>
    <row r="768" spans="1:7">
      <c r="A768" s="59"/>
      <c r="B768" s="54"/>
      <c r="C768" s="57"/>
      <c r="E768" s="103"/>
      <c r="F768" s="54"/>
      <c r="G768" s="57"/>
    </row>
    <row r="769" spans="1:7">
      <c r="A769" s="59"/>
      <c r="B769" s="54"/>
      <c r="C769" s="57"/>
      <c r="E769" s="103"/>
      <c r="F769" s="54"/>
      <c r="G769" s="57"/>
    </row>
    <row r="770" spans="1:7">
      <c r="A770" s="59"/>
      <c r="B770" s="54"/>
      <c r="C770" s="57"/>
      <c r="E770" s="103"/>
      <c r="F770" s="54"/>
      <c r="G770" s="57"/>
    </row>
    <row r="771" spans="1:7">
      <c r="A771" s="59"/>
      <c r="B771" s="54"/>
      <c r="C771" s="57"/>
      <c r="E771" s="103"/>
      <c r="F771" s="54"/>
      <c r="G771" s="57"/>
    </row>
    <row r="772" spans="1:7">
      <c r="A772" s="59"/>
      <c r="B772" s="54"/>
      <c r="C772" s="57"/>
      <c r="E772" s="103"/>
      <c r="F772" s="54"/>
      <c r="G772" s="57"/>
    </row>
    <row r="773" spans="1:7">
      <c r="A773" s="59"/>
      <c r="B773" s="54"/>
      <c r="C773" s="57"/>
      <c r="E773" s="103"/>
      <c r="F773" s="54"/>
      <c r="G773" s="57"/>
    </row>
    <row r="774" spans="1:7">
      <c r="A774" s="59"/>
      <c r="B774" s="54"/>
      <c r="C774" s="57"/>
      <c r="E774" s="103"/>
      <c r="F774" s="54"/>
      <c r="G774" s="57"/>
    </row>
    <row r="775" spans="1:7">
      <c r="A775" s="59"/>
      <c r="B775" s="54"/>
      <c r="C775" s="57"/>
      <c r="E775" s="103"/>
      <c r="F775" s="54"/>
      <c r="G775" s="57"/>
    </row>
    <row r="776" spans="1:7">
      <c r="A776" s="59"/>
      <c r="B776" s="54"/>
      <c r="C776" s="57"/>
      <c r="E776" s="103"/>
      <c r="F776" s="54"/>
      <c r="G776" s="57"/>
    </row>
    <row r="777" spans="1:7">
      <c r="A777" s="59"/>
      <c r="B777" s="54"/>
      <c r="C777" s="57"/>
      <c r="E777" s="103"/>
      <c r="F777" s="54"/>
      <c r="G777" s="57"/>
    </row>
    <row r="778" spans="1:7">
      <c r="A778" s="59"/>
      <c r="B778" s="54"/>
      <c r="C778" s="57"/>
      <c r="E778" s="103"/>
      <c r="F778" s="54"/>
      <c r="G778" s="57"/>
    </row>
    <row r="779" spans="1:7">
      <c r="A779" s="59"/>
      <c r="B779" s="54"/>
      <c r="C779" s="57"/>
      <c r="E779" s="103"/>
      <c r="F779" s="54"/>
      <c r="G779" s="57"/>
    </row>
    <row r="780" spans="1:7">
      <c r="A780" s="59"/>
      <c r="B780" s="54"/>
      <c r="C780" s="57"/>
      <c r="E780" s="103"/>
      <c r="F780" s="54"/>
      <c r="G780" s="57"/>
    </row>
    <row r="781" spans="1:7">
      <c r="A781" s="59"/>
      <c r="B781" s="54"/>
      <c r="C781" s="57"/>
      <c r="E781" s="103"/>
      <c r="F781" s="54"/>
      <c r="G781" s="57"/>
    </row>
    <row r="782" spans="1:7">
      <c r="A782" s="59"/>
      <c r="B782" s="54"/>
      <c r="C782" s="57"/>
      <c r="E782" s="103"/>
      <c r="F782" s="54"/>
      <c r="G782" s="57"/>
    </row>
    <row r="783" spans="1:7">
      <c r="A783" s="59"/>
      <c r="B783" s="54"/>
      <c r="C783" s="57"/>
      <c r="E783" s="103"/>
      <c r="F783" s="54"/>
      <c r="G783" s="57"/>
    </row>
    <row r="784" spans="1:7">
      <c r="A784" s="59"/>
      <c r="B784" s="54"/>
      <c r="C784" s="57"/>
      <c r="E784" s="103"/>
      <c r="F784" s="54"/>
      <c r="G784" s="57"/>
    </row>
    <row r="785" spans="1:7">
      <c r="A785" s="59"/>
      <c r="B785" s="54"/>
      <c r="C785" s="57"/>
      <c r="E785" s="103"/>
      <c r="F785" s="54"/>
      <c r="G785" s="57"/>
    </row>
    <row r="786" spans="1:7">
      <c r="A786" s="59"/>
      <c r="B786" s="54"/>
      <c r="C786" s="57"/>
      <c r="E786" s="103"/>
      <c r="F786" s="54"/>
      <c r="G786" s="57"/>
    </row>
    <row r="787" spans="1:7">
      <c r="A787" s="59"/>
      <c r="B787" s="54"/>
      <c r="C787" s="57"/>
      <c r="E787" s="103"/>
      <c r="F787" s="54"/>
      <c r="G787" s="57"/>
    </row>
    <row r="788" spans="1:7">
      <c r="A788" s="59"/>
      <c r="B788" s="54"/>
      <c r="C788" s="57"/>
      <c r="E788" s="103"/>
      <c r="F788" s="54"/>
      <c r="G788" s="57"/>
    </row>
    <row r="789" spans="1:7">
      <c r="A789" s="59"/>
      <c r="B789" s="54"/>
      <c r="C789" s="57"/>
      <c r="E789" s="103"/>
      <c r="F789" s="54"/>
      <c r="G789" s="57"/>
    </row>
    <row r="790" spans="1:7">
      <c r="A790" s="59"/>
      <c r="B790" s="54"/>
      <c r="C790" s="57"/>
      <c r="E790" s="103"/>
      <c r="F790" s="54"/>
      <c r="G790" s="57"/>
    </row>
    <row r="791" spans="1:7">
      <c r="A791" s="59"/>
      <c r="B791" s="54"/>
      <c r="C791" s="57"/>
      <c r="E791" s="103"/>
      <c r="F791" s="54"/>
      <c r="G791" s="57"/>
    </row>
    <row r="792" spans="1:7">
      <c r="A792" s="59"/>
      <c r="B792" s="54"/>
      <c r="C792" s="57"/>
      <c r="E792" s="103"/>
      <c r="F792" s="54"/>
      <c r="G792" s="57"/>
    </row>
    <row r="793" spans="1:7">
      <c r="A793" s="59"/>
      <c r="B793" s="54"/>
      <c r="C793" s="57"/>
      <c r="E793" s="103"/>
      <c r="F793" s="54"/>
      <c r="G793" s="57"/>
    </row>
    <row r="794" spans="1:7">
      <c r="A794" s="59"/>
      <c r="B794" s="54"/>
      <c r="C794" s="57"/>
      <c r="E794" s="103"/>
      <c r="F794" s="54"/>
      <c r="G794" s="57"/>
    </row>
    <row r="795" spans="1:7">
      <c r="A795" s="59"/>
      <c r="B795" s="54"/>
      <c r="C795" s="57"/>
      <c r="E795" s="103"/>
      <c r="F795" s="54"/>
      <c r="G795" s="57"/>
    </row>
    <row r="796" spans="1:7">
      <c r="A796" s="59"/>
      <c r="B796" s="54"/>
      <c r="C796" s="57"/>
      <c r="E796" s="103"/>
      <c r="F796" s="54"/>
      <c r="G796" s="57"/>
    </row>
    <row r="797" spans="1:7">
      <c r="A797" s="59"/>
      <c r="B797" s="54"/>
      <c r="C797" s="57"/>
      <c r="E797" s="103"/>
      <c r="F797" s="54"/>
      <c r="G797" s="57"/>
    </row>
    <row r="798" spans="1:7">
      <c r="A798" s="59"/>
      <c r="B798" s="54"/>
      <c r="C798" s="57"/>
      <c r="E798" s="103"/>
      <c r="F798" s="54"/>
      <c r="G798" s="57"/>
    </row>
    <row r="799" spans="1:7">
      <c r="A799" s="59"/>
      <c r="B799" s="54"/>
      <c r="C799" s="57"/>
      <c r="E799" s="103"/>
      <c r="F799" s="54"/>
      <c r="G799" s="57"/>
    </row>
    <row r="800" spans="1:7">
      <c r="A800" s="59"/>
      <c r="B800" s="54"/>
      <c r="C800" s="57"/>
      <c r="E800" s="103"/>
      <c r="F800" s="54"/>
      <c r="G800" s="57"/>
    </row>
    <row r="801" spans="1:7">
      <c r="A801" s="59"/>
      <c r="B801" s="54"/>
      <c r="C801" s="57"/>
      <c r="E801" s="103"/>
      <c r="F801" s="54"/>
      <c r="G801" s="57"/>
    </row>
    <row r="802" spans="1:7">
      <c r="A802" s="59"/>
      <c r="B802" s="54"/>
      <c r="C802" s="57"/>
      <c r="E802" s="103"/>
      <c r="F802" s="54"/>
      <c r="G802" s="57"/>
    </row>
    <row r="803" spans="1:7">
      <c r="A803" s="59"/>
      <c r="B803" s="54"/>
      <c r="C803" s="57"/>
      <c r="E803" s="103"/>
      <c r="F803" s="54"/>
      <c r="G803" s="57"/>
    </row>
    <row r="804" spans="1:7">
      <c r="A804" s="59"/>
      <c r="B804" s="54"/>
      <c r="C804" s="57"/>
      <c r="E804" s="103"/>
      <c r="F804" s="54"/>
      <c r="G804" s="57"/>
    </row>
    <row r="805" spans="1:7">
      <c r="A805" s="59"/>
      <c r="B805" s="54"/>
      <c r="C805" s="57"/>
      <c r="E805" s="103"/>
      <c r="F805" s="54"/>
      <c r="G805" s="57"/>
    </row>
    <row r="806" spans="1:7">
      <c r="A806" s="59"/>
      <c r="B806" s="54"/>
      <c r="C806" s="57"/>
      <c r="E806" s="103"/>
      <c r="F806" s="54"/>
      <c r="G806" s="57"/>
    </row>
    <row r="807" spans="1:7">
      <c r="A807" s="59"/>
      <c r="B807" s="54"/>
      <c r="C807" s="57"/>
      <c r="E807" s="103"/>
      <c r="F807" s="54"/>
      <c r="G807" s="57"/>
    </row>
    <row r="808" spans="1:7">
      <c r="A808" s="59"/>
      <c r="B808" s="54"/>
      <c r="C808" s="57"/>
      <c r="E808" s="103"/>
      <c r="F808" s="54"/>
      <c r="G808" s="57"/>
    </row>
    <row r="809" spans="1:7">
      <c r="A809" s="59"/>
      <c r="B809" s="54"/>
      <c r="C809" s="57"/>
      <c r="E809" s="103"/>
      <c r="F809" s="54"/>
      <c r="G809" s="57"/>
    </row>
    <row r="810" spans="1:7">
      <c r="A810" s="59"/>
      <c r="B810" s="54"/>
      <c r="C810" s="57"/>
      <c r="E810" s="103"/>
      <c r="F810" s="54"/>
      <c r="G810" s="57"/>
    </row>
    <row r="811" spans="1:7">
      <c r="A811" s="59"/>
      <c r="B811" s="54"/>
      <c r="C811" s="57"/>
      <c r="E811" s="103"/>
      <c r="F811" s="54"/>
      <c r="G811" s="57"/>
    </row>
    <row r="812" spans="1:7">
      <c r="A812" s="59"/>
      <c r="B812" s="54"/>
      <c r="C812" s="57"/>
      <c r="E812" s="103"/>
      <c r="F812" s="54"/>
      <c r="G812" s="57"/>
    </row>
    <row r="813" spans="1:7">
      <c r="A813" s="59"/>
      <c r="B813" s="54"/>
      <c r="C813" s="57"/>
      <c r="E813" s="103"/>
      <c r="F813" s="54"/>
      <c r="G813" s="57"/>
    </row>
    <row r="814" spans="1:7">
      <c r="A814" s="59"/>
      <c r="B814" s="54"/>
      <c r="C814" s="57"/>
      <c r="E814" s="103"/>
      <c r="F814" s="54"/>
      <c r="G814" s="57"/>
    </row>
    <row r="815" spans="1:7">
      <c r="A815" s="59"/>
      <c r="B815" s="54"/>
      <c r="C815" s="57"/>
      <c r="E815" s="103"/>
      <c r="F815" s="54"/>
      <c r="G815" s="57"/>
    </row>
    <row r="816" spans="1:7">
      <c r="A816" s="59"/>
      <c r="B816" s="54"/>
      <c r="C816" s="57"/>
      <c r="E816" s="103"/>
      <c r="F816" s="54"/>
      <c r="G816" s="57"/>
    </row>
    <row r="817" spans="1:7">
      <c r="A817" s="59"/>
      <c r="B817" s="54"/>
      <c r="C817" s="57"/>
      <c r="E817" s="103"/>
      <c r="F817" s="54"/>
      <c r="G817" s="57"/>
    </row>
    <row r="818" spans="1:7">
      <c r="A818" s="59"/>
      <c r="B818" s="54"/>
      <c r="C818" s="57"/>
      <c r="E818" s="103"/>
      <c r="F818" s="54"/>
      <c r="G818" s="57"/>
    </row>
    <row r="819" spans="1:7">
      <c r="A819" s="59"/>
      <c r="B819" s="54"/>
      <c r="C819" s="57"/>
      <c r="E819" s="103"/>
      <c r="F819" s="54"/>
      <c r="G819" s="57"/>
    </row>
    <row r="820" spans="1:7">
      <c r="A820" s="59"/>
      <c r="B820" s="54"/>
      <c r="C820" s="57"/>
      <c r="E820" s="103"/>
      <c r="F820" s="54"/>
      <c r="G820" s="57"/>
    </row>
    <row r="821" spans="1:7">
      <c r="A821" s="59"/>
      <c r="B821" s="54"/>
      <c r="C821" s="57"/>
      <c r="E821" s="103"/>
      <c r="F821" s="54"/>
      <c r="G821" s="57"/>
    </row>
    <row r="822" spans="1:7">
      <c r="A822" s="59"/>
      <c r="B822" s="54"/>
      <c r="C822" s="57"/>
      <c r="E822" s="103"/>
      <c r="F822" s="54"/>
      <c r="G822" s="57"/>
    </row>
    <row r="823" spans="1:7">
      <c r="A823" s="59"/>
      <c r="B823" s="54"/>
      <c r="C823" s="57"/>
      <c r="E823" s="103"/>
      <c r="F823" s="54"/>
      <c r="G823" s="57"/>
    </row>
    <row r="824" spans="1:7">
      <c r="A824" s="59"/>
      <c r="B824" s="54"/>
      <c r="C824" s="57"/>
      <c r="E824" s="103"/>
      <c r="F824" s="54"/>
      <c r="G824" s="57"/>
    </row>
    <row r="825" spans="1:7">
      <c r="A825" s="59"/>
      <c r="B825" s="54"/>
      <c r="C825" s="57"/>
      <c r="E825" s="103"/>
      <c r="F825" s="54"/>
      <c r="G825" s="57"/>
    </row>
    <row r="826" spans="1:7">
      <c r="A826" s="59"/>
      <c r="B826" s="54"/>
      <c r="C826" s="57"/>
      <c r="E826" s="103"/>
      <c r="F826" s="54"/>
      <c r="G826" s="57"/>
    </row>
    <row r="827" spans="1:7">
      <c r="A827" s="59"/>
      <c r="B827" s="54"/>
      <c r="C827" s="57"/>
      <c r="E827" s="103"/>
      <c r="F827" s="54"/>
      <c r="G827" s="57"/>
    </row>
    <row r="828" spans="1:7">
      <c r="A828" s="59"/>
      <c r="B828" s="54"/>
      <c r="C828" s="57"/>
      <c r="E828" s="103"/>
      <c r="F828" s="54"/>
      <c r="G828" s="57"/>
    </row>
    <row r="829" spans="1:7">
      <c r="A829" s="59"/>
      <c r="B829" s="54"/>
      <c r="C829" s="57"/>
      <c r="E829" s="103"/>
      <c r="F829" s="54"/>
      <c r="G829" s="57"/>
    </row>
    <row r="830" spans="1:7">
      <c r="A830" s="59"/>
      <c r="B830" s="54"/>
      <c r="C830" s="57"/>
      <c r="E830" s="103"/>
      <c r="F830" s="54"/>
      <c r="G830" s="57"/>
    </row>
    <row r="831" spans="1:7">
      <c r="A831" s="59"/>
      <c r="B831" s="54"/>
      <c r="C831" s="57"/>
      <c r="E831" s="103"/>
      <c r="F831" s="54"/>
      <c r="G831" s="57"/>
    </row>
    <row r="832" spans="1:7">
      <c r="A832" s="59"/>
      <c r="B832" s="54"/>
      <c r="C832" s="57"/>
      <c r="E832" s="103"/>
      <c r="F832" s="54"/>
      <c r="G832" s="57"/>
    </row>
    <row r="833" spans="1:7">
      <c r="A833" s="59"/>
      <c r="B833" s="54"/>
      <c r="C833" s="57"/>
      <c r="E833" s="103"/>
      <c r="F833" s="54"/>
      <c r="G833" s="57"/>
    </row>
    <row r="834" spans="1:7">
      <c r="A834" s="59"/>
      <c r="B834" s="54"/>
      <c r="C834" s="57"/>
      <c r="E834" s="103"/>
      <c r="F834" s="54"/>
      <c r="G834" s="57"/>
    </row>
    <row r="835" spans="1:7">
      <c r="A835" s="59"/>
      <c r="B835" s="54"/>
      <c r="C835" s="57"/>
      <c r="E835" s="103"/>
      <c r="F835" s="54"/>
      <c r="G835" s="57"/>
    </row>
    <row r="836" spans="1:7">
      <c r="A836" s="59"/>
      <c r="B836" s="54"/>
      <c r="C836" s="57"/>
      <c r="E836" s="103"/>
      <c r="F836" s="54"/>
      <c r="G836" s="57"/>
    </row>
    <row r="837" spans="1:7">
      <c r="A837" s="59"/>
      <c r="B837" s="54"/>
      <c r="C837" s="57"/>
      <c r="E837" s="103"/>
      <c r="F837" s="54"/>
      <c r="G837" s="57"/>
    </row>
    <row r="838" spans="1:7">
      <c r="A838" s="59"/>
      <c r="B838" s="54"/>
      <c r="C838" s="57"/>
      <c r="E838" s="103"/>
      <c r="F838" s="54"/>
      <c r="G838" s="57"/>
    </row>
    <row r="839" spans="1:7">
      <c r="A839" s="59"/>
      <c r="B839" s="54"/>
      <c r="C839" s="57"/>
      <c r="E839" s="103"/>
      <c r="F839" s="54"/>
      <c r="G839" s="57"/>
    </row>
    <row r="840" spans="1:7">
      <c r="A840" s="59"/>
      <c r="B840" s="54"/>
      <c r="C840" s="57"/>
      <c r="E840" s="103"/>
      <c r="F840" s="54"/>
      <c r="G840" s="57"/>
    </row>
    <row r="841" spans="1:7">
      <c r="A841" s="59"/>
      <c r="B841" s="54"/>
      <c r="C841" s="57"/>
      <c r="E841" s="103"/>
      <c r="F841" s="54"/>
      <c r="G841" s="57"/>
    </row>
    <row r="842" spans="1:7">
      <c r="A842" s="59"/>
      <c r="B842" s="54"/>
      <c r="C842" s="57"/>
      <c r="E842" s="103"/>
      <c r="F842" s="54"/>
      <c r="G842" s="57"/>
    </row>
    <row r="843" spans="1:7">
      <c r="A843" s="59"/>
      <c r="B843" s="54"/>
      <c r="C843" s="57"/>
      <c r="E843" s="103"/>
      <c r="F843" s="54"/>
      <c r="G843" s="57"/>
    </row>
    <row r="844" spans="1:7">
      <c r="A844" s="59"/>
      <c r="B844" s="54"/>
      <c r="C844" s="57"/>
      <c r="E844" s="103"/>
      <c r="F844" s="54"/>
      <c r="G844" s="57"/>
    </row>
    <row r="845" spans="1:7">
      <c r="A845" s="59"/>
      <c r="B845" s="54"/>
      <c r="C845" s="57"/>
      <c r="E845" s="103"/>
      <c r="F845" s="54"/>
      <c r="G845" s="57"/>
    </row>
    <row r="846" spans="1:7">
      <c r="A846" s="59"/>
      <c r="B846" s="54"/>
      <c r="C846" s="57"/>
      <c r="E846" s="103"/>
      <c r="F846" s="54"/>
      <c r="G846" s="57"/>
    </row>
    <row r="847" spans="1:7">
      <c r="A847" s="59"/>
      <c r="B847" s="54"/>
      <c r="C847" s="57"/>
      <c r="E847" s="103"/>
      <c r="F847" s="54"/>
      <c r="G847" s="57"/>
    </row>
    <row r="848" spans="1:7">
      <c r="A848" s="59"/>
      <c r="B848" s="54"/>
      <c r="C848" s="57"/>
      <c r="E848" s="103"/>
      <c r="F848" s="54"/>
      <c r="G848" s="57"/>
    </row>
    <row r="849" spans="1:7">
      <c r="A849" s="59"/>
      <c r="B849" s="54"/>
      <c r="C849" s="57"/>
      <c r="E849" s="103"/>
      <c r="F849" s="54"/>
      <c r="G849" s="57"/>
    </row>
    <row r="850" spans="1:7">
      <c r="A850" s="59"/>
      <c r="B850" s="54"/>
      <c r="C850" s="57"/>
      <c r="E850" s="103"/>
      <c r="F850" s="54"/>
      <c r="G850" s="57"/>
    </row>
    <row r="851" spans="1:7">
      <c r="A851" s="59"/>
      <c r="B851" s="54"/>
      <c r="C851" s="57"/>
      <c r="E851" s="103"/>
      <c r="F851" s="54"/>
      <c r="G851" s="57"/>
    </row>
    <row r="852" spans="1:7">
      <c r="A852" s="59"/>
      <c r="B852" s="54"/>
      <c r="C852" s="57"/>
      <c r="E852" s="103"/>
      <c r="F852" s="54"/>
      <c r="G852" s="57"/>
    </row>
    <row r="853" spans="1:7">
      <c r="A853" s="59"/>
      <c r="B853" s="54"/>
      <c r="C853" s="57"/>
      <c r="E853" s="103"/>
      <c r="F853" s="54"/>
      <c r="G853" s="57"/>
    </row>
    <row r="854" spans="1:7">
      <c r="A854" s="59"/>
      <c r="B854" s="54"/>
      <c r="C854" s="57"/>
      <c r="E854" s="103"/>
      <c r="F854" s="54"/>
      <c r="G854" s="57"/>
    </row>
    <row r="855" spans="1:7">
      <c r="A855" s="59"/>
      <c r="B855" s="54"/>
      <c r="C855" s="57"/>
      <c r="E855" s="103"/>
      <c r="F855" s="54"/>
      <c r="G855" s="57"/>
    </row>
    <row r="856" spans="1:7">
      <c r="A856" s="59"/>
      <c r="B856" s="54"/>
      <c r="C856" s="57"/>
      <c r="E856" s="103"/>
      <c r="F856" s="54"/>
      <c r="G856" s="57"/>
    </row>
    <row r="857" spans="1:7">
      <c r="A857" s="59"/>
      <c r="B857" s="54"/>
      <c r="C857" s="57"/>
      <c r="E857" s="103"/>
      <c r="F857" s="54"/>
      <c r="G857" s="57"/>
    </row>
    <row r="858" spans="1:7">
      <c r="A858" s="59"/>
      <c r="B858" s="54"/>
      <c r="C858" s="57"/>
      <c r="E858" s="103"/>
      <c r="F858" s="54"/>
      <c r="G858" s="57"/>
    </row>
    <row r="859" spans="1:7">
      <c r="A859" s="59"/>
      <c r="B859" s="54"/>
      <c r="C859" s="57"/>
      <c r="E859" s="103"/>
      <c r="F859" s="54"/>
      <c r="G859" s="57"/>
    </row>
    <row r="860" spans="1:7">
      <c r="A860" s="59"/>
      <c r="B860" s="54"/>
      <c r="C860" s="57"/>
      <c r="E860" s="103"/>
      <c r="F860" s="54"/>
      <c r="G860" s="57"/>
    </row>
    <row r="861" spans="1:7">
      <c r="A861" s="59"/>
      <c r="B861" s="54"/>
      <c r="C861" s="57"/>
      <c r="E861" s="103"/>
      <c r="F861" s="54"/>
      <c r="G861" s="57"/>
    </row>
    <row r="862" spans="1:7">
      <c r="A862" s="59"/>
      <c r="B862" s="54"/>
      <c r="C862" s="57"/>
      <c r="E862" s="103"/>
      <c r="F862" s="54"/>
      <c r="G862" s="57"/>
    </row>
    <row r="863" spans="1:7">
      <c r="A863" s="59"/>
      <c r="B863" s="54"/>
      <c r="C863" s="57"/>
      <c r="E863" s="103"/>
      <c r="F863" s="54"/>
      <c r="G863" s="57"/>
    </row>
    <row r="864" spans="1:7">
      <c r="A864" s="59"/>
      <c r="B864" s="54"/>
      <c r="C864" s="57"/>
      <c r="E864" s="103"/>
      <c r="F864" s="54"/>
      <c r="G864" s="57"/>
    </row>
    <row r="865" spans="1:7">
      <c r="A865" s="59"/>
      <c r="B865" s="54"/>
      <c r="C865" s="57"/>
      <c r="E865" s="103"/>
      <c r="F865" s="54"/>
      <c r="G865" s="57"/>
    </row>
    <row r="866" spans="1:7">
      <c r="A866" s="59"/>
      <c r="B866" s="54"/>
      <c r="C866" s="57"/>
      <c r="E866" s="103"/>
      <c r="F866" s="54"/>
      <c r="G866" s="57"/>
    </row>
    <row r="867" spans="1:7">
      <c r="A867" s="59"/>
      <c r="B867" s="54"/>
      <c r="C867" s="57"/>
      <c r="E867" s="103"/>
      <c r="F867" s="54"/>
      <c r="G867" s="57"/>
    </row>
    <row r="868" spans="1:7">
      <c r="A868" s="59"/>
      <c r="B868" s="54"/>
      <c r="C868" s="57"/>
      <c r="E868" s="103"/>
      <c r="F868" s="54"/>
      <c r="G868" s="57"/>
    </row>
    <row r="869" spans="1:7">
      <c r="A869" s="59"/>
      <c r="B869" s="54"/>
      <c r="C869" s="57"/>
      <c r="E869" s="103"/>
      <c r="F869" s="54"/>
      <c r="G869" s="57"/>
    </row>
    <row r="870" spans="1:7">
      <c r="A870" s="59"/>
      <c r="B870" s="54"/>
      <c r="C870" s="57"/>
      <c r="E870" s="103"/>
      <c r="F870" s="54"/>
      <c r="G870" s="57"/>
    </row>
    <row r="871" spans="1:7">
      <c r="A871" s="59"/>
      <c r="B871" s="54"/>
      <c r="C871" s="57"/>
      <c r="E871" s="103"/>
      <c r="F871" s="54"/>
      <c r="G871" s="57"/>
    </row>
    <row r="872" spans="1:7">
      <c r="A872" s="59"/>
      <c r="B872" s="54"/>
      <c r="C872" s="57"/>
      <c r="E872" s="103"/>
      <c r="F872" s="54"/>
      <c r="G872" s="57"/>
    </row>
    <row r="873" spans="1:7">
      <c r="A873" s="59"/>
      <c r="B873" s="54"/>
      <c r="C873" s="57"/>
      <c r="E873" s="103"/>
      <c r="F873" s="54"/>
      <c r="G873" s="57"/>
    </row>
    <row r="874" spans="1:7">
      <c r="A874" s="59"/>
      <c r="B874" s="54"/>
      <c r="C874" s="57"/>
      <c r="E874" s="103"/>
      <c r="F874" s="54"/>
      <c r="G874" s="57"/>
    </row>
    <row r="875" spans="1:7">
      <c r="A875" s="59"/>
      <c r="B875" s="54"/>
      <c r="C875" s="57"/>
      <c r="E875" s="103"/>
      <c r="F875" s="54"/>
      <c r="G875" s="57"/>
    </row>
    <row r="876" spans="1:7">
      <c r="A876" s="59"/>
      <c r="B876" s="54"/>
      <c r="C876" s="57"/>
      <c r="E876" s="103"/>
      <c r="F876" s="54"/>
      <c r="G876" s="57"/>
    </row>
    <row r="877" spans="1:7">
      <c r="A877" s="59"/>
      <c r="B877" s="54"/>
      <c r="C877" s="57"/>
      <c r="E877" s="103"/>
      <c r="F877" s="54"/>
      <c r="G877" s="57"/>
    </row>
    <row r="878" spans="1:7">
      <c r="A878" s="59"/>
      <c r="B878" s="54"/>
      <c r="C878" s="57"/>
      <c r="E878" s="103"/>
      <c r="F878" s="54"/>
      <c r="G878" s="57"/>
    </row>
    <row r="879" spans="1:7">
      <c r="A879" s="59"/>
      <c r="B879" s="54"/>
      <c r="C879" s="57"/>
      <c r="E879" s="103"/>
      <c r="F879" s="54"/>
      <c r="G879" s="57"/>
    </row>
    <row r="880" spans="1:7">
      <c r="A880" s="59"/>
      <c r="B880" s="54"/>
      <c r="C880" s="57"/>
      <c r="E880" s="103"/>
      <c r="F880" s="54"/>
      <c r="G880" s="57"/>
    </row>
    <row r="881" spans="1:7">
      <c r="A881" s="59"/>
      <c r="B881" s="54"/>
      <c r="C881" s="57"/>
      <c r="E881" s="103"/>
      <c r="F881" s="54"/>
      <c r="G881" s="57"/>
    </row>
    <row r="882" spans="1:7">
      <c r="A882" s="59"/>
      <c r="B882" s="54"/>
      <c r="C882" s="57"/>
      <c r="E882" s="103"/>
      <c r="F882" s="54"/>
      <c r="G882" s="57"/>
    </row>
    <row r="883" spans="1:7">
      <c r="A883" s="59"/>
      <c r="B883" s="54"/>
      <c r="C883" s="57"/>
      <c r="E883" s="103"/>
      <c r="F883" s="54"/>
      <c r="G883" s="57"/>
    </row>
    <row r="884" spans="1:7">
      <c r="A884" s="59"/>
      <c r="B884" s="54"/>
      <c r="C884" s="57"/>
      <c r="E884" s="103"/>
      <c r="F884" s="54"/>
      <c r="G884" s="57"/>
    </row>
    <row r="885" spans="1:7">
      <c r="A885" s="59"/>
      <c r="B885" s="54"/>
      <c r="C885" s="57"/>
      <c r="E885" s="103"/>
      <c r="F885" s="54"/>
      <c r="G885" s="57"/>
    </row>
    <row r="886" spans="1:7">
      <c r="A886" s="59"/>
      <c r="B886" s="54"/>
      <c r="C886" s="57"/>
      <c r="E886" s="103"/>
      <c r="F886" s="54"/>
      <c r="G886" s="57"/>
    </row>
    <row r="887" spans="1:7">
      <c r="A887" s="59"/>
      <c r="B887" s="54"/>
      <c r="C887" s="57"/>
      <c r="E887" s="103"/>
      <c r="F887" s="54"/>
      <c r="G887" s="57"/>
    </row>
    <row r="888" spans="1:7">
      <c r="A888" s="59"/>
      <c r="B888" s="54"/>
      <c r="C888" s="57"/>
      <c r="E888" s="103"/>
      <c r="F888" s="54"/>
      <c r="G888" s="57"/>
    </row>
    <row r="889" spans="1:7">
      <c r="A889" s="59"/>
      <c r="B889" s="54"/>
      <c r="C889" s="57"/>
      <c r="E889" s="103"/>
      <c r="F889" s="54"/>
      <c r="G889" s="57"/>
    </row>
    <row r="890" spans="1:7">
      <c r="A890" s="59"/>
      <c r="B890" s="54"/>
      <c r="C890" s="57"/>
      <c r="E890" s="103"/>
      <c r="F890" s="54"/>
      <c r="G890" s="57"/>
    </row>
    <row r="891" spans="1:7">
      <c r="A891" s="59"/>
      <c r="B891" s="54"/>
      <c r="C891" s="57"/>
      <c r="E891" s="103"/>
      <c r="F891" s="54"/>
      <c r="G891" s="57"/>
    </row>
    <row r="892" spans="1:7">
      <c r="A892" s="59"/>
      <c r="B892" s="54"/>
      <c r="C892" s="57"/>
      <c r="E892" s="103"/>
      <c r="F892" s="54"/>
      <c r="G892" s="57"/>
    </row>
    <row r="893" spans="1:7">
      <c r="A893" s="59"/>
      <c r="B893" s="54"/>
      <c r="C893" s="57"/>
      <c r="E893" s="103"/>
      <c r="F893" s="54"/>
      <c r="G893" s="57"/>
    </row>
    <row r="894" spans="1:7">
      <c r="A894" s="59"/>
      <c r="B894" s="54"/>
      <c r="C894" s="57"/>
      <c r="E894" s="103"/>
      <c r="F894" s="54"/>
      <c r="G894" s="57"/>
    </row>
  </sheetData>
  <sheetProtection algorithmName="SHA-512" hashValue="OO2V8Iv9tDCBGOmU59iwpODHofjXMQuW7DeBQHle8iYASVxMy3ENZiS47JtQQXRgCMMSCLGEysIIJg3YkMGjPw==" saltValue="ZJF2YcPNPfAFd3flYi7YvA==" spinCount="100000" sheet="1" objects="1" scenarios="1"/>
  <mergeCells count="7">
    <mergeCell ref="E235:G235"/>
    <mergeCell ref="A20:C20"/>
    <mergeCell ref="E50:G50"/>
    <mergeCell ref="E51:G51"/>
    <mergeCell ref="M139:O139"/>
    <mergeCell ref="M140:O140"/>
    <mergeCell ref="E234:G234"/>
  </mergeCells>
  <conditionalFormatting sqref="F272:G272 F232:G232 F97:G97 E101:G101 E279:G281 E365:G375 F221:G221 E21:G21 E1:G2 F76:G76 F85:G85 F198:G198 F175:G175 F188:G188 E237:G241 E296:G363 E4:G19 F3:G3 F22:G22 E34:G47 F32:G33 E53:G58 F48:G48 E60:G67 F59:G59 F68:G68 E103:G127 F102:G102 E129:G136 F128:G128 E138:G150 F137:G137 E152:G159 F151:G151 F160:G160 F168:G168 F256:G256 F242:G242 F282:G282 F295:G295 E189:G196 E257:G271 E31:G31 E377:G1048576">
    <cfRule type="expression" dxfId="101" priority="89">
      <formula>SEARCH("No",$H1)</formula>
    </cfRule>
  </conditionalFormatting>
  <conditionalFormatting sqref="I68:K97 I148:K151 I101:K137 I160:K168 I365:K375 I1:K19 I175:K197 M199:O220 I221:K243 I253:K256 I272:K363 I21:K59 I377:K1048576">
    <cfRule type="expression" dxfId="100" priority="88">
      <formula>SEARCH("No",$L1)</formula>
    </cfRule>
  </conditionalFormatting>
  <conditionalFormatting sqref="M101:O137 M365:O375 M21:O97 M1:O19 M221:O363 N198:O198 M151:O197 M377:O1048576">
    <cfRule type="expression" dxfId="99" priority="87">
      <formula>SEARCH("No",$P1)</formula>
    </cfRule>
  </conditionalFormatting>
  <conditionalFormatting sqref="Q365:S375 Q21:S97 Q1:S19 Q101:S188 Q198:S363 Q377:S1048576">
    <cfRule type="expression" dxfId="98" priority="86">
      <formula>SEARCH("No",$T1)</formula>
    </cfRule>
  </conditionalFormatting>
  <conditionalFormatting sqref="A377:C382 A365:C375 A357:C363 A1:C19 E159:G159 E152:G155 A102:C157 A66:C100 E86:G86 A175:C175 A159:C160 A188:C188 A221:C222 A295:C355 A167:C168 A198:C198 A231:C242 A256:C256 A272:C282 I283:K285 E283:G292 A292:C292 A21:C22 A31:C64 A399:C1048576">
    <cfRule type="expression" dxfId="97" priority="85">
      <formula>ISNUMBER(SEARCH("No",$D1))</formula>
    </cfRule>
  </conditionalFormatting>
  <conditionalFormatting sqref="E98:G100">
    <cfRule type="expression" dxfId="96" priority="84">
      <formula>SEARCH("No",$H98)</formula>
    </cfRule>
  </conditionalFormatting>
  <conditionalFormatting sqref="I98:K100">
    <cfRule type="expression" dxfId="95" priority="83">
      <formula>SEARCH("No",$L98)</formula>
    </cfRule>
  </conditionalFormatting>
  <conditionalFormatting sqref="M98:O100">
    <cfRule type="expression" dxfId="94" priority="82">
      <formula>SEARCH("No",$P98)</formula>
    </cfRule>
  </conditionalFormatting>
  <conditionalFormatting sqref="Q98:S100">
    <cfRule type="expression" dxfId="93" priority="81">
      <formula>SEARCH("No",$T98)</formula>
    </cfRule>
  </conditionalFormatting>
  <conditionalFormatting sqref="A257:C271">
    <cfRule type="expression" dxfId="92" priority="80">
      <formula>ISNUMBER(SEARCH("No",#REF!))</formula>
    </cfRule>
  </conditionalFormatting>
  <conditionalFormatting sqref="I152:K152">
    <cfRule type="expression" dxfId="91" priority="76">
      <formula>ISNUMBER(SEARCH("No",$D152))</formula>
    </cfRule>
  </conditionalFormatting>
  <conditionalFormatting sqref="E273:G278">
    <cfRule type="expression" dxfId="90" priority="79">
      <formula>ISNUMBER(SEARCH("No",$D273))</formula>
    </cfRule>
  </conditionalFormatting>
  <conditionalFormatting sqref="I60:K67">
    <cfRule type="expression" dxfId="89" priority="78">
      <formula>ISNUMBER(SEARCH("No",$D60))</formula>
    </cfRule>
  </conditionalFormatting>
  <conditionalFormatting sqref="I138:K147">
    <cfRule type="expression" dxfId="88" priority="77">
      <formula>ISNUMBER(SEARCH("No",$D138))</formula>
    </cfRule>
  </conditionalFormatting>
  <conditionalFormatting sqref="E222:G222">
    <cfRule type="expression" dxfId="87" priority="75">
      <formula>ISNUMBER(SEARCH("No",$D222))</formula>
    </cfRule>
  </conditionalFormatting>
  <conditionalFormatting sqref="E228:G228">
    <cfRule type="expression" dxfId="86" priority="90">
      <formula>ISNUMBER(SEARCH("No",$D231))</formula>
    </cfRule>
  </conditionalFormatting>
  <conditionalFormatting sqref="E89:G96 I89:K96 E288:G294">
    <cfRule type="expression" dxfId="85" priority="91">
      <formula>ISNUMBER(SEARCH("No",$D87))</formula>
    </cfRule>
  </conditionalFormatting>
  <conditionalFormatting sqref="E157:G158 E87:G101 I87:K87">
    <cfRule type="expression" dxfId="84" priority="74">
      <formula>ISNUMBER(SEARCH("No",$D86))</formula>
    </cfRule>
  </conditionalFormatting>
  <conditionalFormatting sqref="E376:G376">
    <cfRule type="expression" dxfId="83" priority="73">
      <formula>SEARCH("No",$H376)</formula>
    </cfRule>
  </conditionalFormatting>
  <conditionalFormatting sqref="I376:K376">
    <cfRule type="expression" dxfId="82" priority="72">
      <formula>SEARCH("No",$L376)</formula>
    </cfRule>
  </conditionalFormatting>
  <conditionalFormatting sqref="M376:O376">
    <cfRule type="expression" dxfId="81" priority="71">
      <formula>SEARCH("No",$P376)</formula>
    </cfRule>
  </conditionalFormatting>
  <conditionalFormatting sqref="Q376:S376">
    <cfRule type="expression" dxfId="80" priority="70">
      <formula>SEARCH("No",$T376)</formula>
    </cfRule>
  </conditionalFormatting>
  <conditionalFormatting sqref="A376:C376">
    <cfRule type="expression" dxfId="79" priority="69">
      <formula>ISNUMBER(SEARCH("No",$D376))</formula>
    </cfRule>
  </conditionalFormatting>
  <conditionalFormatting sqref="E364:G364">
    <cfRule type="expression" dxfId="78" priority="68">
      <formula>SEARCH("No",$H364)</formula>
    </cfRule>
  </conditionalFormatting>
  <conditionalFormatting sqref="I364:K364">
    <cfRule type="expression" dxfId="77" priority="67">
      <formula>SEARCH("No",$L364)</formula>
    </cfRule>
  </conditionalFormatting>
  <conditionalFormatting sqref="M364:O364">
    <cfRule type="expression" dxfId="76" priority="66">
      <formula>SEARCH("No",$P364)</formula>
    </cfRule>
  </conditionalFormatting>
  <conditionalFormatting sqref="Q364:S364">
    <cfRule type="expression" dxfId="75" priority="65">
      <formula>SEARCH("No",$T364)</formula>
    </cfRule>
  </conditionalFormatting>
  <conditionalFormatting sqref="A364:C364">
    <cfRule type="expression" dxfId="74" priority="64">
      <formula>ISNUMBER(SEARCH("No",$D364))</formula>
    </cfRule>
  </conditionalFormatting>
  <conditionalFormatting sqref="A356:C356">
    <cfRule type="expression" dxfId="73" priority="63">
      <formula>ISNUMBER(SEARCH("No",$D356))</formula>
    </cfRule>
  </conditionalFormatting>
  <conditionalFormatting sqref="E20:G20">
    <cfRule type="expression" dxfId="72" priority="62">
      <formula>SEARCH("No",$H20)</formula>
    </cfRule>
  </conditionalFormatting>
  <conditionalFormatting sqref="I20:K20">
    <cfRule type="expression" dxfId="71" priority="61">
      <formula>SEARCH("No",$L20)</formula>
    </cfRule>
  </conditionalFormatting>
  <conditionalFormatting sqref="M20:O20">
    <cfRule type="expression" dxfId="70" priority="60">
      <formula>SEARCH("No",$P20)</formula>
    </cfRule>
  </conditionalFormatting>
  <conditionalFormatting sqref="Q20:S20">
    <cfRule type="expression" dxfId="69" priority="59">
      <formula>SEARCH("No",$T20)</formula>
    </cfRule>
  </conditionalFormatting>
  <conditionalFormatting sqref="A20 D20">
    <cfRule type="expression" dxfId="68" priority="58">
      <formula>ISNUMBER(SEARCH("No",$D19))</formula>
    </cfRule>
  </conditionalFormatting>
  <conditionalFormatting sqref="A65:C65">
    <cfRule type="expression" dxfId="67" priority="57">
      <formula>ISNUMBER(SEARCH("No",$D65))</formula>
    </cfRule>
  </conditionalFormatting>
  <conditionalFormatting sqref="M138:O138 M148:O150">
    <cfRule type="expression" dxfId="66" priority="56">
      <formula>ISNUMBER(SEARCH("No",$D138))</formula>
    </cfRule>
  </conditionalFormatting>
  <conditionalFormatting sqref="M139">
    <cfRule type="expression" dxfId="65" priority="55">
      <formula>ISNUMBER(SEARCH("No",$D138))</formula>
    </cfRule>
  </conditionalFormatting>
  <conditionalFormatting sqref="M141:O141">
    <cfRule type="expression" dxfId="64" priority="54">
      <formula>ISNUMBER(SEARCH("No",$D141))</formula>
    </cfRule>
  </conditionalFormatting>
  <conditionalFormatting sqref="M140">
    <cfRule type="expression" dxfId="63" priority="53">
      <formula>ISNUMBER(SEARCH("No",$D139))</formula>
    </cfRule>
  </conditionalFormatting>
  <conditionalFormatting sqref="I152:K159">
    <cfRule type="expression" dxfId="62" priority="52">
      <formula>SEARCH("No",$H152)</formula>
    </cfRule>
  </conditionalFormatting>
  <conditionalFormatting sqref="E156:G156 E87:G87 A192:C192 E171:G171 I201:K201 I206:K206 E286:G287">
    <cfRule type="expression" dxfId="61" priority="92">
      <formula>ISNUMBER(SEARCH("No",#REF!))</formula>
    </cfRule>
  </conditionalFormatting>
  <conditionalFormatting sqref="A158:C158">
    <cfRule type="expression" dxfId="60" priority="51">
      <formula>ISNUMBER(SEARCH("No",$D158))</formula>
    </cfRule>
  </conditionalFormatting>
  <conditionalFormatting sqref="E69:G75">
    <cfRule type="expression" dxfId="59" priority="50">
      <formula>ISNUMBER(SEARCH("No",$D69))</formula>
    </cfRule>
  </conditionalFormatting>
  <conditionalFormatting sqref="E77:G84">
    <cfRule type="expression" dxfId="58" priority="49">
      <formula>ISNUMBER(SEARCH("No",$D77))</formula>
    </cfRule>
  </conditionalFormatting>
  <conditionalFormatting sqref="J97:K97 I101:K101">
    <cfRule type="expression" dxfId="57" priority="48">
      <formula>SEARCH("No",$H97)</formula>
    </cfRule>
  </conditionalFormatting>
  <conditionalFormatting sqref="I98:K100">
    <cfRule type="expression" dxfId="56" priority="47">
      <formula>SEARCH("No",$H98)</formula>
    </cfRule>
  </conditionalFormatting>
  <conditionalFormatting sqref="E97 I97">
    <cfRule type="expression" dxfId="55" priority="93">
      <formula>ISNUMBER(SEARCH("No",$D94))</formula>
    </cfRule>
  </conditionalFormatting>
  <conditionalFormatting sqref="E88:G88 I88:K88 A193:C193 I210:K210">
    <cfRule type="expression" dxfId="54" priority="94">
      <formula>ISNUMBER(SEARCH("No",#REF!))</formula>
    </cfRule>
  </conditionalFormatting>
  <conditionalFormatting sqref="E176:G187">
    <cfRule type="expression" dxfId="53" priority="46">
      <formula>ISNUMBER(SEARCH("No",$D176))</formula>
    </cfRule>
  </conditionalFormatting>
  <conditionalFormatting sqref="E201:G201">
    <cfRule type="expression" dxfId="52" priority="45">
      <formula>ISNUMBER(SEARCH("No",$D198))</formula>
    </cfRule>
  </conditionalFormatting>
  <conditionalFormatting sqref="E233:G233">
    <cfRule type="expression" dxfId="51" priority="44">
      <formula>ISNUMBER(SEARCH("No",$D233))</formula>
    </cfRule>
  </conditionalFormatting>
  <conditionalFormatting sqref="E234">
    <cfRule type="expression" dxfId="50" priority="43">
      <formula>ISNUMBER(SEARCH("No",$D233))</formula>
    </cfRule>
  </conditionalFormatting>
  <conditionalFormatting sqref="E236:G236">
    <cfRule type="expression" dxfId="49" priority="42">
      <formula>ISNUMBER(SEARCH("No",$D236))</formula>
    </cfRule>
  </conditionalFormatting>
  <conditionalFormatting sqref="E235">
    <cfRule type="expression" dxfId="48" priority="41">
      <formula>ISNUMBER(SEARCH("No",$D234))</formula>
    </cfRule>
  </conditionalFormatting>
  <conditionalFormatting sqref="I279:K281">
    <cfRule type="expression" dxfId="47" priority="40">
      <formula>SEARCH("No",$H279)</formula>
    </cfRule>
  </conditionalFormatting>
  <conditionalFormatting sqref="E273:G281">
    <cfRule type="expression" dxfId="46" priority="39">
      <formula>ISNUMBER(SEARCH("No",$D273))</formula>
    </cfRule>
  </conditionalFormatting>
  <conditionalFormatting sqref="I273:K278">
    <cfRule type="expression" dxfId="45" priority="38">
      <formula>ISNUMBER(SEARCH("No",$D273))</formula>
    </cfRule>
  </conditionalFormatting>
  <conditionalFormatting sqref="A383:C398">
    <cfRule type="expression" dxfId="44" priority="37">
      <formula>ISNUMBER(SEARCH("No",$D383))</formula>
    </cfRule>
  </conditionalFormatting>
  <conditionalFormatting sqref="E49:G49">
    <cfRule type="expression" dxfId="43" priority="36">
      <formula>ISNUMBER(SEARCH("No",$D49))</formula>
    </cfRule>
  </conditionalFormatting>
  <conditionalFormatting sqref="E50">
    <cfRule type="expression" dxfId="42" priority="35">
      <formula>ISNUMBER(SEARCH("No",$D49))</formula>
    </cfRule>
  </conditionalFormatting>
  <conditionalFormatting sqref="E52:G52">
    <cfRule type="expression" dxfId="41" priority="34">
      <formula>ISNUMBER(SEARCH("No",$D52))</formula>
    </cfRule>
  </conditionalFormatting>
  <conditionalFormatting sqref="E51">
    <cfRule type="expression" dxfId="40" priority="33">
      <formula>ISNUMBER(SEARCH("No",$D50))</formula>
    </cfRule>
  </conditionalFormatting>
  <conditionalFormatting sqref="E161:G167">
    <cfRule type="expression" dxfId="39" priority="32">
      <formula>ISNUMBER(SEARCH("No",$D161))</formula>
    </cfRule>
  </conditionalFormatting>
  <conditionalFormatting sqref="A161:C161 B165:C165 A166:C166">
    <cfRule type="expression" dxfId="38" priority="30">
      <formula>ISNUMBER(SEARCH("No",$D161))</formula>
    </cfRule>
  </conditionalFormatting>
  <conditionalFormatting sqref="A162:C164">
    <cfRule type="expression" dxfId="37" priority="29">
      <formula>SEARCH("No",#REF!)</formula>
    </cfRule>
  </conditionalFormatting>
  <conditionalFormatting sqref="A165">
    <cfRule type="expression" dxfId="36" priority="31">
      <formula>ISNUMBER(SEARCH("No",$D167))</formula>
    </cfRule>
  </conditionalFormatting>
  <conditionalFormatting sqref="E199:G200 I199:K200 I207:K209 E202:G218 E243:G255 I244:K252 E23:G30">
    <cfRule type="expression" dxfId="35" priority="95">
      <formula>ISNUMBER(SEARCH("No",$H23))</formula>
    </cfRule>
  </conditionalFormatting>
  <conditionalFormatting sqref="I211:K216">
    <cfRule type="expression" dxfId="34" priority="96">
      <formula>ISNUMBER(SEARCH("No",$H210))</formula>
    </cfRule>
  </conditionalFormatting>
  <conditionalFormatting sqref="A169:C169 B173:C173">
    <cfRule type="expression" dxfId="33" priority="27">
      <formula>ISNUMBER(SEARCH("No",$D169))</formula>
    </cfRule>
  </conditionalFormatting>
  <conditionalFormatting sqref="A170:C172">
    <cfRule type="expression" dxfId="32" priority="26">
      <formula>SEARCH("No",#REF!)</formula>
    </cfRule>
  </conditionalFormatting>
  <conditionalFormatting sqref="A173">
    <cfRule type="expression" dxfId="31" priority="28">
      <formula>ISNUMBER(SEARCH("No",$D174))</formula>
    </cfRule>
  </conditionalFormatting>
  <conditionalFormatting sqref="I176:K187">
    <cfRule type="expression" dxfId="30" priority="25">
      <formula>ISNUMBER(SEARCH("No",$D176))</formula>
    </cfRule>
  </conditionalFormatting>
  <conditionalFormatting sqref="E176:G180">
    <cfRule type="expression" dxfId="29" priority="24">
      <formula>ISNUMBER(SEARCH("No",$D176))</formula>
    </cfRule>
  </conditionalFormatting>
  <conditionalFormatting sqref="B185:C185">
    <cfRule type="expression" dxfId="28" priority="22">
      <formula>ISNUMBER(SEARCH("No",$D185))</formula>
    </cfRule>
  </conditionalFormatting>
  <conditionalFormatting sqref="A185">
    <cfRule type="expression" dxfId="27" priority="23">
      <formula>ISNUMBER(SEARCH("No",$D187))</formula>
    </cfRule>
  </conditionalFormatting>
  <conditionalFormatting sqref="A176:C184">
    <cfRule type="expression" dxfId="26" priority="21">
      <formula>SEARCH("No",#REF!)</formula>
    </cfRule>
  </conditionalFormatting>
  <conditionalFormatting sqref="E194:G197 A194:C197">
    <cfRule type="expression" dxfId="25" priority="18">
      <formula>ISNUMBER(SEARCH("No",#REF!))</formula>
    </cfRule>
  </conditionalFormatting>
  <conditionalFormatting sqref="E192:G192">
    <cfRule type="expression" dxfId="24" priority="19">
      <formula>ISNUMBER(SEARCH("No",#REF!))</formula>
    </cfRule>
  </conditionalFormatting>
  <conditionalFormatting sqref="E193:G193">
    <cfRule type="expression" dxfId="23" priority="20">
      <formula>ISNUMBER(SEARCH("No",#REF!))</formula>
    </cfRule>
  </conditionalFormatting>
  <conditionalFormatting sqref="A189:C195 E189:G191">
    <cfRule type="expression" dxfId="22" priority="97">
      <formula>ISNUMBER(SEARCH("No",#REF!))</formula>
    </cfRule>
  </conditionalFormatting>
  <conditionalFormatting sqref="I218:K220">
    <cfRule type="expression" dxfId="21" priority="98">
      <formula>ISNUMBER(SEARCH("No",$H216))</formula>
    </cfRule>
  </conditionalFormatting>
  <conditionalFormatting sqref="I202:K205">
    <cfRule type="expression" dxfId="20" priority="99">
      <formula>ISNUMBER(SEARCH("No",$H203))</formula>
    </cfRule>
  </conditionalFormatting>
  <conditionalFormatting sqref="I217:K217">
    <cfRule type="expression" dxfId="19" priority="100">
      <formula>ISNUMBER(SEARCH("No",$H202))</formula>
    </cfRule>
  </conditionalFormatting>
  <conditionalFormatting sqref="A199:C220">
    <cfRule type="expression" dxfId="18" priority="17">
      <formula>ISNUMBER(SEARCH("No",$D199))</formula>
    </cfRule>
  </conditionalFormatting>
  <conditionalFormatting sqref="A243:C252">
    <cfRule type="expression" dxfId="17" priority="16">
      <formula>SEARCH("No",#REF!)</formula>
    </cfRule>
  </conditionalFormatting>
  <conditionalFormatting sqref="A253">
    <cfRule type="expression" dxfId="16" priority="15">
      <formula>ISNUMBER(SEARCH("No",$H253))</formula>
    </cfRule>
  </conditionalFormatting>
  <conditionalFormatting sqref="A257:C271">
    <cfRule type="expression" dxfId="15" priority="14">
      <formula>ISNUMBER(SEARCH("No",#REF!))</formula>
    </cfRule>
  </conditionalFormatting>
  <conditionalFormatting sqref="E257:G271">
    <cfRule type="expression" dxfId="14" priority="13">
      <formula>ISNUMBER(SEARCH("No",#REF!))</formula>
    </cfRule>
  </conditionalFormatting>
  <conditionalFormatting sqref="I288:K294">
    <cfRule type="expression" dxfId="13" priority="11">
      <formula>ISNUMBER(SEARCH("No",$D286))</formula>
    </cfRule>
  </conditionalFormatting>
  <conditionalFormatting sqref="I286:K287">
    <cfRule type="expression" dxfId="12" priority="12">
      <formula>ISNUMBER(SEARCH("No",#REF!))</formula>
    </cfRule>
  </conditionalFormatting>
  <conditionalFormatting sqref="A283:C283 B291:C291">
    <cfRule type="expression" dxfId="11" priority="9">
      <formula>ISNUMBER(SEARCH("No",$D283))</formula>
    </cfRule>
  </conditionalFormatting>
  <conditionalFormatting sqref="A290">
    <cfRule type="expression" dxfId="10" priority="10">
      <formula>ISNUMBER(SEARCH("No",$D294))</formula>
    </cfRule>
  </conditionalFormatting>
  <conditionalFormatting sqref="A284:C289 B290:C290">
    <cfRule type="expression" dxfId="9" priority="8">
      <formula>SEARCH("No",#REF!)</formula>
    </cfRule>
  </conditionalFormatting>
  <conditionalFormatting sqref="E169:G170">
    <cfRule type="expression" dxfId="8" priority="101">
      <formula>ISNUMBER(SEARCH("No",#REF!))</formula>
    </cfRule>
  </conditionalFormatting>
  <conditionalFormatting sqref="E172:G174">
    <cfRule type="expression" dxfId="7" priority="102">
      <formula>ISNUMBER(SEARCH("No",#REF!))</formula>
    </cfRule>
  </conditionalFormatting>
  <conditionalFormatting sqref="E176:G187">
    <cfRule type="expression" dxfId="6" priority="7">
      <formula>SEARCH("No",$L176)</formula>
    </cfRule>
  </conditionalFormatting>
  <conditionalFormatting sqref="A176:C187">
    <cfRule type="expression" dxfId="5" priority="6">
      <formula>ISNUMBER(SEARCH("No",$D176))</formula>
    </cfRule>
  </conditionalFormatting>
  <conditionalFormatting sqref="E176:G187">
    <cfRule type="expression" dxfId="4" priority="5">
      <formula>ISNUMBER(SEARCH("No",$D176))</formula>
    </cfRule>
  </conditionalFormatting>
  <conditionalFormatting sqref="A176:C180">
    <cfRule type="expression" dxfId="3" priority="4">
      <formula>ISNUMBER(SEARCH("No",$D176))</formula>
    </cfRule>
  </conditionalFormatting>
  <conditionalFormatting sqref="A24:C26">
    <cfRule type="expression" dxfId="2" priority="3">
      <formula>ISNUMBER(SEARCH("No",$H24))</formula>
    </cfRule>
  </conditionalFormatting>
  <conditionalFormatting sqref="B27:B29">
    <cfRule type="expression" dxfId="1" priority="2">
      <formula>ISNUMBER(SEARCH("No",$D27))</formula>
    </cfRule>
  </conditionalFormatting>
  <conditionalFormatting sqref="A30">
    <cfRule type="expression" dxfId="0" priority="1">
      <formula>ISNUMBER(SEARCH("No",$H30))</formula>
    </cfRule>
  </conditionalFormatting>
  <dataValidations count="1">
    <dataValidation type="list" allowBlank="1" showInputMessage="1" showErrorMessage="1" sqref="P140:P141 D1:D19 P1:P138 L272:L1048576 H232:H233 D295:D1048576 D102:D173 L87:L168 D188:D195 T1:T188 T198:T1048576 H221:H230 D198 P148:P1048576 D244:D248 D221:D242 H295:H1048576 D175:D180 L175:L197 D256:D292 H235:H292 L199:L256 L1:L85 H1:H218 D21:D22 D31:D100 D24:D26">
      <formula1>"Yes,No"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Y96"/>
  <sheetViews>
    <sheetView workbookViewId="0">
      <selection activeCell="D13" sqref="D13"/>
    </sheetView>
  </sheetViews>
  <sheetFormatPr defaultRowHeight="15"/>
  <cols>
    <col min="1" max="1" width="6.42578125" customWidth="1"/>
    <col min="2" max="2" width="64" customWidth="1"/>
    <col min="7" max="7" width="35.5703125" customWidth="1"/>
    <col min="8" max="8" width="45.28515625" style="9" customWidth="1"/>
    <col min="9" max="9" width="20.7109375" customWidth="1"/>
    <col min="11" max="11" width="9.140625" style="45"/>
    <col min="13" max="13" width="16" customWidth="1"/>
    <col min="14" max="14" width="33" customWidth="1"/>
    <col min="15" max="15" width="13.5703125" customWidth="1"/>
    <col min="16" max="16" width="9.140625" style="201"/>
    <col min="18" max="18" width="27" customWidth="1"/>
    <col min="19" max="19" width="21.85546875" customWidth="1"/>
    <col min="21" max="21" width="30.28515625" customWidth="1"/>
    <col min="22" max="22" width="35.7109375" bestFit="1" customWidth="1"/>
    <col min="23" max="23" width="13.42578125" bestFit="1" customWidth="1"/>
    <col min="25" max="25" width="14.42578125" bestFit="1" customWidth="1"/>
  </cols>
  <sheetData>
    <row r="1" spans="2:13">
      <c r="M1" t="s">
        <v>20</v>
      </c>
    </row>
    <row r="2" spans="2:13">
      <c r="B2" s="17"/>
    </row>
    <row r="3" spans="2:13">
      <c r="B3" s="20"/>
      <c r="C3" s="19"/>
      <c r="D3" s="28"/>
      <c r="F3" t="s">
        <v>44</v>
      </c>
      <c r="G3" s="121" t="s">
        <v>9</v>
      </c>
      <c r="H3" s="117" t="s">
        <v>32</v>
      </c>
      <c r="I3" s="118" t="s">
        <v>41</v>
      </c>
    </row>
    <row r="4" spans="2:13">
      <c r="B4" s="17"/>
      <c r="C4" s="17"/>
      <c r="D4" s="17"/>
      <c r="F4" t="s">
        <v>47</v>
      </c>
      <c r="G4" s="121" t="s">
        <v>382</v>
      </c>
      <c r="H4" s="118" t="s">
        <v>24</v>
      </c>
      <c r="I4" s="118" t="s">
        <v>42</v>
      </c>
    </row>
    <row r="5" spans="2:13">
      <c r="B5" s="17"/>
      <c r="C5" s="17"/>
      <c r="D5" s="17"/>
      <c r="G5" s="122">
        <v>2013</v>
      </c>
      <c r="H5" s="119" t="s">
        <v>33</v>
      </c>
      <c r="I5" s="120">
        <v>2014</v>
      </c>
    </row>
    <row r="6" spans="2:13">
      <c r="B6" s="17"/>
      <c r="C6" s="17"/>
      <c r="D6" s="17"/>
      <c r="G6" s="121">
        <v>2014</v>
      </c>
      <c r="H6" s="119" t="s">
        <v>94</v>
      </c>
      <c r="I6" s="120">
        <v>2015</v>
      </c>
    </row>
    <row r="7" spans="2:13">
      <c r="B7" s="17"/>
      <c r="C7" s="17"/>
      <c r="D7" s="17"/>
      <c r="G7" s="121">
        <v>2015</v>
      </c>
      <c r="H7" s="119" t="s">
        <v>106</v>
      </c>
      <c r="I7" s="120">
        <v>2016</v>
      </c>
    </row>
    <row r="8" spans="2:13">
      <c r="B8" s="17"/>
      <c r="C8" s="17"/>
      <c r="D8" s="17"/>
      <c r="G8" s="121">
        <v>2016</v>
      </c>
      <c r="H8" s="119" t="s">
        <v>109</v>
      </c>
      <c r="I8" s="120">
        <v>2017</v>
      </c>
    </row>
    <row r="9" spans="2:13">
      <c r="B9" s="17"/>
      <c r="C9" s="17"/>
      <c r="D9" s="17"/>
      <c r="G9" s="121" t="s">
        <v>443</v>
      </c>
      <c r="H9" s="119" t="s">
        <v>127</v>
      </c>
      <c r="I9" s="120">
        <v>2018</v>
      </c>
    </row>
    <row r="10" spans="2:13">
      <c r="B10" s="17"/>
      <c r="C10" s="17"/>
      <c r="D10" s="17"/>
      <c r="G10" s="121" t="s">
        <v>477</v>
      </c>
      <c r="H10" s="119" t="s">
        <v>34</v>
      </c>
      <c r="I10" s="118"/>
    </row>
    <row r="11" spans="2:13">
      <c r="B11" s="17"/>
      <c r="C11" s="17"/>
      <c r="D11" s="17"/>
      <c r="G11" s="123"/>
      <c r="H11" s="118" t="s">
        <v>25</v>
      </c>
      <c r="I11" s="118"/>
    </row>
    <row r="12" spans="2:13">
      <c r="B12" s="17"/>
      <c r="C12" s="17"/>
      <c r="D12" s="17"/>
      <c r="G12" s="123"/>
      <c r="H12" s="119" t="s">
        <v>195</v>
      </c>
      <c r="I12" s="118"/>
    </row>
    <row r="13" spans="2:13">
      <c r="B13" s="17"/>
      <c r="C13" s="17"/>
      <c r="D13" s="17"/>
      <c r="G13" s="123"/>
      <c r="H13" s="119" t="s">
        <v>205</v>
      </c>
      <c r="I13" s="118"/>
    </row>
    <row r="14" spans="2:13">
      <c r="B14" s="17"/>
      <c r="C14" s="17"/>
      <c r="D14" s="17"/>
      <c r="G14" s="123"/>
      <c r="H14" s="119" t="s">
        <v>208</v>
      </c>
      <c r="I14" s="118"/>
    </row>
    <row r="15" spans="2:13">
      <c r="G15" s="124"/>
      <c r="H15" s="119" t="s">
        <v>217</v>
      </c>
      <c r="I15" s="118"/>
    </row>
    <row r="16" spans="2:13">
      <c r="G16" s="124"/>
      <c r="H16" s="118" t="s">
        <v>234</v>
      </c>
      <c r="I16" s="118"/>
    </row>
    <row r="17" spans="1:25">
      <c r="B17" s="25"/>
      <c r="G17" s="124"/>
      <c r="H17" s="119"/>
      <c r="I17" s="118"/>
    </row>
    <row r="18" spans="1:25">
      <c r="B18" s="20"/>
      <c r="C18" s="28"/>
      <c r="D18" s="28"/>
      <c r="G18" s="124"/>
      <c r="H18" s="119" t="s">
        <v>458</v>
      </c>
      <c r="I18" s="118"/>
    </row>
    <row r="19" spans="1:25">
      <c r="B19" s="25"/>
      <c r="C19" s="25"/>
      <c r="G19" s="124"/>
      <c r="H19" s="224" t="s">
        <v>459</v>
      </c>
      <c r="I19" s="118"/>
    </row>
    <row r="20" spans="1:25">
      <c r="B20" s="25"/>
      <c r="C20" s="25"/>
      <c r="G20" s="124"/>
      <c r="H20" s="118"/>
      <c r="I20" s="118"/>
    </row>
    <row r="21" spans="1:25">
      <c r="G21" s="124"/>
      <c r="H21" s="118"/>
      <c r="I21" s="118"/>
    </row>
    <row r="22" spans="1:25">
      <c r="G22" s="225"/>
      <c r="H22" s="224"/>
      <c r="I22" s="226"/>
      <c r="N22" t="s">
        <v>521</v>
      </c>
      <c r="R22" t="s">
        <v>522</v>
      </c>
      <c r="V22" s="25" t="s">
        <v>523</v>
      </c>
    </row>
    <row r="23" spans="1:25">
      <c r="A23" s="46"/>
      <c r="B23" s="48"/>
      <c r="C23" s="46"/>
      <c r="D23" s="46"/>
      <c r="E23" s="46"/>
      <c r="F23" s="46"/>
      <c r="G23" s="46"/>
      <c r="H23" s="252"/>
      <c r="I23" s="46"/>
      <c r="J23" s="47"/>
      <c r="N23" s="190" t="s">
        <v>346</v>
      </c>
      <c r="O23" s="191" t="s">
        <v>6</v>
      </c>
      <c r="P23" s="217" t="s">
        <v>6</v>
      </c>
      <c r="R23" s="190" t="s">
        <v>346</v>
      </c>
      <c r="S23" s="191" t="s">
        <v>6</v>
      </c>
      <c r="T23" s="217" t="s">
        <v>6</v>
      </c>
      <c r="V23" s="190" t="s">
        <v>346</v>
      </c>
      <c r="W23" s="191" t="s">
        <v>6</v>
      </c>
      <c r="X23" s="217" t="s">
        <v>6</v>
      </c>
      <c r="Y23" s="25"/>
    </row>
    <row r="24" spans="1:25">
      <c r="N24" s="191" t="s">
        <v>6</v>
      </c>
      <c r="O24" s="191" t="s">
        <v>6</v>
      </c>
      <c r="P24" s="217" t="s">
        <v>6</v>
      </c>
      <c r="R24" s="191" t="s">
        <v>6</v>
      </c>
      <c r="S24" s="191" t="s">
        <v>6</v>
      </c>
      <c r="T24" s="217" t="s">
        <v>6</v>
      </c>
      <c r="U24" s="285" t="s">
        <v>463</v>
      </c>
      <c r="V24" s="191" t="s">
        <v>6</v>
      </c>
      <c r="W24" s="191" t="s">
        <v>6</v>
      </c>
      <c r="X24" s="217" t="s">
        <v>6</v>
      </c>
      <c r="Y24" s="285" t="s">
        <v>463</v>
      </c>
    </row>
    <row r="25" spans="1:25">
      <c r="N25" s="190" t="s">
        <v>288</v>
      </c>
      <c r="O25" s="125" t="s">
        <v>229</v>
      </c>
      <c r="P25" s="188">
        <v>6</v>
      </c>
      <c r="R25" s="190" t="s">
        <v>288</v>
      </c>
      <c r="S25" s="125" t="s">
        <v>229</v>
      </c>
      <c r="T25" s="188">
        <v>6</v>
      </c>
      <c r="U25" t="s">
        <v>464</v>
      </c>
      <c r="V25" s="190" t="s">
        <v>524</v>
      </c>
      <c r="W25" s="125" t="s">
        <v>531</v>
      </c>
      <c r="X25" s="188">
        <v>6</v>
      </c>
      <c r="Y25" s="25" t="s">
        <v>532</v>
      </c>
    </row>
    <row r="26" spans="1:25">
      <c r="B26" s="40"/>
      <c r="N26" s="125" t="s">
        <v>289</v>
      </c>
      <c r="O26" s="126" t="s">
        <v>290</v>
      </c>
      <c r="P26" s="189">
        <v>6</v>
      </c>
      <c r="R26" s="125" t="s">
        <v>289</v>
      </c>
      <c r="S26" s="126" t="s">
        <v>290</v>
      </c>
      <c r="T26" s="189">
        <v>6</v>
      </c>
      <c r="U26" t="s">
        <v>465</v>
      </c>
      <c r="V26" s="125" t="s">
        <v>525</v>
      </c>
      <c r="W26" s="126" t="s">
        <v>321</v>
      </c>
      <c r="X26" s="189">
        <v>6</v>
      </c>
      <c r="Y26" s="25" t="s">
        <v>533</v>
      </c>
    </row>
    <row r="27" spans="1:25">
      <c r="B27" s="40"/>
      <c r="N27" s="190" t="s">
        <v>291</v>
      </c>
      <c r="O27" s="125" t="s">
        <v>292</v>
      </c>
      <c r="P27" s="188">
        <v>6</v>
      </c>
      <c r="R27" s="190" t="s">
        <v>291</v>
      </c>
      <c r="S27" s="125" t="s">
        <v>292</v>
      </c>
      <c r="T27" s="188">
        <v>6</v>
      </c>
      <c r="V27" s="190" t="s">
        <v>526</v>
      </c>
      <c r="W27" s="125" t="s">
        <v>316</v>
      </c>
      <c r="X27" s="188">
        <v>6</v>
      </c>
      <c r="Y27" s="25" t="s">
        <v>533</v>
      </c>
    </row>
    <row r="28" spans="1:25">
      <c r="B28" s="40"/>
      <c r="N28" s="190" t="s">
        <v>293</v>
      </c>
      <c r="O28" s="190" t="s">
        <v>294</v>
      </c>
      <c r="P28" s="188">
        <v>6</v>
      </c>
      <c r="R28" s="190" t="s">
        <v>293</v>
      </c>
      <c r="S28" s="190" t="s">
        <v>294</v>
      </c>
      <c r="T28" s="188">
        <v>6</v>
      </c>
      <c r="U28" t="s">
        <v>465</v>
      </c>
      <c r="V28" s="190" t="s">
        <v>527</v>
      </c>
      <c r="W28" s="190" t="s">
        <v>229</v>
      </c>
      <c r="X28" s="188">
        <v>6</v>
      </c>
      <c r="Y28" s="25" t="s">
        <v>534</v>
      </c>
    </row>
    <row r="29" spans="1:25">
      <c r="B29" s="40"/>
      <c r="N29" s="125" t="s">
        <v>295</v>
      </c>
      <c r="O29" s="125" t="s">
        <v>296</v>
      </c>
      <c r="P29" s="188">
        <v>6</v>
      </c>
      <c r="R29" s="125" t="s">
        <v>295</v>
      </c>
      <c r="S29" s="125" t="s">
        <v>296</v>
      </c>
      <c r="T29" s="188">
        <v>6</v>
      </c>
      <c r="V29" s="125" t="s">
        <v>306</v>
      </c>
      <c r="W29" s="125" t="s">
        <v>307</v>
      </c>
      <c r="X29" s="188">
        <v>6</v>
      </c>
      <c r="Y29" s="25" t="s">
        <v>535</v>
      </c>
    </row>
    <row r="30" spans="1:25">
      <c r="B30" s="40"/>
      <c r="N30" s="190" t="s">
        <v>297</v>
      </c>
      <c r="O30" s="190" t="s">
        <v>298</v>
      </c>
      <c r="P30" s="188">
        <v>3</v>
      </c>
      <c r="R30" s="190" t="s">
        <v>299</v>
      </c>
      <c r="S30" s="190" t="s">
        <v>300</v>
      </c>
      <c r="T30" s="188">
        <v>6</v>
      </c>
      <c r="U30" t="s">
        <v>466</v>
      </c>
      <c r="V30" s="190" t="s">
        <v>538</v>
      </c>
      <c r="W30" s="190" t="s">
        <v>334</v>
      </c>
      <c r="X30" s="188">
        <v>6</v>
      </c>
      <c r="Y30" s="25" t="s">
        <v>468</v>
      </c>
    </row>
    <row r="31" spans="1:25">
      <c r="B31" s="40"/>
      <c r="N31" s="190" t="s">
        <v>299</v>
      </c>
      <c r="O31" s="190" t="s">
        <v>300</v>
      </c>
      <c r="P31" s="188">
        <v>6</v>
      </c>
      <c r="R31" s="190" t="s">
        <v>301</v>
      </c>
      <c r="S31" s="190" t="s">
        <v>302</v>
      </c>
      <c r="T31" s="188">
        <v>6</v>
      </c>
      <c r="U31" s="25" t="s">
        <v>466</v>
      </c>
      <c r="V31" s="190" t="s">
        <v>331</v>
      </c>
      <c r="W31" s="190" t="s">
        <v>332</v>
      </c>
      <c r="X31" s="188">
        <v>6</v>
      </c>
      <c r="Y31" s="25" t="s">
        <v>532</v>
      </c>
    </row>
    <row r="32" spans="1:25">
      <c r="B32" s="40"/>
      <c r="N32" s="190" t="s">
        <v>301</v>
      </c>
      <c r="O32" s="190" t="s">
        <v>302</v>
      </c>
      <c r="P32" s="188">
        <v>6</v>
      </c>
      <c r="R32" s="190" t="s">
        <v>303</v>
      </c>
      <c r="S32" s="190" t="s">
        <v>302</v>
      </c>
      <c r="T32" s="188">
        <v>6</v>
      </c>
      <c r="U32" s="25" t="s">
        <v>466</v>
      </c>
      <c r="V32" s="190" t="s">
        <v>528</v>
      </c>
      <c r="W32" s="190" t="s">
        <v>318</v>
      </c>
      <c r="X32" s="188">
        <v>6</v>
      </c>
      <c r="Y32" s="25" t="s">
        <v>536</v>
      </c>
    </row>
    <row r="33" spans="2:25">
      <c r="B33" s="40"/>
      <c r="N33" s="190" t="s">
        <v>303</v>
      </c>
      <c r="O33" s="190" t="s">
        <v>302</v>
      </c>
      <c r="P33" s="188">
        <v>6</v>
      </c>
      <c r="R33" s="125" t="s">
        <v>304</v>
      </c>
      <c r="S33" s="125" t="s">
        <v>305</v>
      </c>
      <c r="T33" s="188">
        <v>6</v>
      </c>
      <c r="U33" t="s">
        <v>464</v>
      </c>
      <c r="V33" s="125" t="s">
        <v>293</v>
      </c>
      <c r="W33" s="125" t="s">
        <v>294</v>
      </c>
      <c r="X33" s="188">
        <v>6</v>
      </c>
      <c r="Y33" s="25" t="s">
        <v>535</v>
      </c>
    </row>
    <row r="34" spans="2:25">
      <c r="B34" s="40"/>
      <c r="N34" s="125" t="s">
        <v>304</v>
      </c>
      <c r="O34" s="125" t="s">
        <v>305</v>
      </c>
      <c r="P34" s="188">
        <v>6</v>
      </c>
      <c r="R34" s="125" t="s">
        <v>306</v>
      </c>
      <c r="S34" s="125" t="s">
        <v>307</v>
      </c>
      <c r="T34" s="188">
        <v>6</v>
      </c>
      <c r="U34" s="25" t="s">
        <v>465</v>
      </c>
      <c r="V34" s="125" t="s">
        <v>304</v>
      </c>
      <c r="W34" s="125" t="s">
        <v>305</v>
      </c>
      <c r="X34" s="188">
        <v>6</v>
      </c>
      <c r="Y34" s="25" t="s">
        <v>534</v>
      </c>
    </row>
    <row r="35" spans="2:25">
      <c r="B35" s="40"/>
      <c r="N35" s="125" t="s">
        <v>306</v>
      </c>
      <c r="O35" s="125" t="s">
        <v>307</v>
      </c>
      <c r="P35" s="188">
        <v>6</v>
      </c>
      <c r="R35" s="125" t="s">
        <v>310</v>
      </c>
      <c r="S35" s="125" t="s">
        <v>311</v>
      </c>
      <c r="T35" s="188">
        <v>6</v>
      </c>
      <c r="U35" s="25" t="s">
        <v>465</v>
      </c>
      <c r="V35" s="125" t="s">
        <v>329</v>
      </c>
      <c r="W35" s="125" t="s">
        <v>330</v>
      </c>
      <c r="X35" s="188">
        <v>6</v>
      </c>
      <c r="Y35" s="25" t="s">
        <v>537</v>
      </c>
    </row>
    <row r="36" spans="2:25" ht="15.75" thickBot="1">
      <c r="B36" s="40"/>
      <c r="N36" s="125" t="s">
        <v>379</v>
      </c>
      <c r="O36" s="125" t="s">
        <v>319</v>
      </c>
      <c r="P36" s="188">
        <v>3</v>
      </c>
      <c r="R36" s="125" t="s">
        <v>315</v>
      </c>
      <c r="S36" s="125" t="s">
        <v>316</v>
      </c>
      <c r="T36" s="188">
        <v>6</v>
      </c>
      <c r="U36" t="s">
        <v>467</v>
      </c>
      <c r="V36" s="125" t="s">
        <v>529</v>
      </c>
      <c r="W36" s="125" t="s">
        <v>311</v>
      </c>
      <c r="X36" s="188">
        <v>6</v>
      </c>
      <c r="Y36" s="25" t="s">
        <v>535</v>
      </c>
    </row>
    <row r="37" spans="2:25" ht="15.75" thickBot="1">
      <c r="B37" s="40"/>
      <c r="G37" s="39"/>
      <c r="H37" s="39"/>
      <c r="N37" s="125" t="s">
        <v>308</v>
      </c>
      <c r="O37" s="125" t="s">
        <v>309</v>
      </c>
      <c r="P37" s="188">
        <v>6</v>
      </c>
      <c r="R37" s="125" t="s">
        <v>317</v>
      </c>
      <c r="S37" s="125" t="s">
        <v>318</v>
      </c>
      <c r="T37" s="188">
        <v>6</v>
      </c>
      <c r="U37" t="s">
        <v>467</v>
      </c>
      <c r="V37" s="125" t="s">
        <v>530</v>
      </c>
      <c r="W37" s="125" t="s">
        <v>338</v>
      </c>
      <c r="X37" s="188">
        <v>6</v>
      </c>
      <c r="Y37" s="25" t="s">
        <v>534</v>
      </c>
    </row>
    <row r="38" spans="2:25">
      <c r="B38" s="40"/>
      <c r="G38" s="40"/>
      <c r="H38" s="40"/>
      <c r="N38" s="125" t="s">
        <v>310</v>
      </c>
      <c r="O38" s="125" t="s">
        <v>311</v>
      </c>
      <c r="P38" s="188">
        <v>6</v>
      </c>
      <c r="R38" s="125" t="s">
        <v>320</v>
      </c>
      <c r="S38" s="125" t="s">
        <v>321</v>
      </c>
      <c r="T38" s="188">
        <v>6</v>
      </c>
      <c r="U38" t="s">
        <v>467</v>
      </c>
      <c r="V38" s="125"/>
      <c r="W38" s="125"/>
      <c r="X38" s="188"/>
      <c r="Y38" s="25"/>
    </row>
    <row r="39" spans="2:25">
      <c r="D39" s="42"/>
      <c r="G39" s="40"/>
      <c r="H39" s="40"/>
      <c r="N39" s="125" t="s">
        <v>312</v>
      </c>
      <c r="O39" s="125" t="s">
        <v>313</v>
      </c>
      <c r="P39" s="188">
        <v>6</v>
      </c>
      <c r="R39" s="125" t="s">
        <v>322</v>
      </c>
      <c r="S39" s="125" t="s">
        <v>323</v>
      </c>
      <c r="T39" s="188">
        <v>6</v>
      </c>
      <c r="U39" t="s">
        <v>465</v>
      </c>
      <c r="V39" s="125"/>
      <c r="W39" s="125"/>
      <c r="X39" s="188"/>
      <c r="Y39" s="25"/>
    </row>
    <row r="40" spans="2:25">
      <c r="B40" s="25"/>
      <c r="D40" s="25"/>
      <c r="G40" s="40"/>
      <c r="H40" s="40"/>
      <c r="N40" s="125" t="s">
        <v>314</v>
      </c>
      <c r="O40" s="125" t="s">
        <v>233</v>
      </c>
      <c r="P40" s="188">
        <v>3</v>
      </c>
      <c r="R40" s="125" t="s">
        <v>327</v>
      </c>
      <c r="S40" s="125" t="s">
        <v>328</v>
      </c>
      <c r="T40" s="188">
        <v>6</v>
      </c>
      <c r="V40" s="125"/>
      <c r="W40" s="125"/>
      <c r="X40" s="188"/>
      <c r="Y40" s="25"/>
    </row>
    <row r="41" spans="2:25">
      <c r="B41" s="40"/>
      <c r="D41" s="40"/>
      <c r="G41" s="40"/>
      <c r="H41" s="40"/>
      <c r="N41" s="125" t="s">
        <v>315</v>
      </c>
      <c r="O41" s="125" t="s">
        <v>316</v>
      </c>
      <c r="P41" s="188">
        <v>6</v>
      </c>
      <c r="R41" s="125" t="s">
        <v>329</v>
      </c>
      <c r="S41" s="125" t="s">
        <v>330</v>
      </c>
      <c r="T41" s="188">
        <v>6</v>
      </c>
      <c r="U41" t="s">
        <v>469</v>
      </c>
      <c r="V41" s="125"/>
      <c r="W41" s="125"/>
      <c r="X41" s="188"/>
      <c r="Y41" s="25"/>
    </row>
    <row r="42" spans="2:25">
      <c r="B42" s="40"/>
      <c r="D42" s="40"/>
      <c r="G42" s="40"/>
      <c r="H42" s="40"/>
      <c r="N42" s="125" t="s">
        <v>317</v>
      </c>
      <c r="O42" s="125" t="s">
        <v>318</v>
      </c>
      <c r="P42" s="188">
        <v>6</v>
      </c>
      <c r="R42" s="125" t="s">
        <v>331</v>
      </c>
      <c r="S42" s="125" t="s">
        <v>332</v>
      </c>
      <c r="T42" s="188">
        <v>6</v>
      </c>
      <c r="U42" t="s">
        <v>466</v>
      </c>
      <c r="V42" s="125"/>
      <c r="W42" s="125"/>
      <c r="X42" s="188"/>
      <c r="Y42" s="25"/>
    </row>
    <row r="43" spans="2:25">
      <c r="B43" s="40"/>
      <c r="D43" s="40"/>
      <c r="G43" s="40"/>
      <c r="H43" s="40"/>
      <c r="N43" s="125" t="s">
        <v>320</v>
      </c>
      <c r="O43" s="125" t="s">
        <v>321</v>
      </c>
      <c r="P43" s="188">
        <v>6</v>
      </c>
      <c r="R43" s="125" t="s">
        <v>333</v>
      </c>
      <c r="S43" s="125" t="s">
        <v>334</v>
      </c>
      <c r="T43" s="188">
        <v>6</v>
      </c>
      <c r="U43" t="s">
        <v>468</v>
      </c>
      <c r="V43" s="125"/>
      <c r="W43" s="125"/>
      <c r="X43" s="188"/>
      <c r="Y43" s="25"/>
    </row>
    <row r="44" spans="2:25">
      <c r="B44" s="40"/>
      <c r="D44" s="40"/>
      <c r="G44" s="40"/>
      <c r="H44" s="40"/>
      <c r="N44" s="125" t="s">
        <v>322</v>
      </c>
      <c r="O44" s="125" t="s">
        <v>323</v>
      </c>
      <c r="P44" s="188">
        <v>6</v>
      </c>
      <c r="R44" s="125" t="s">
        <v>335</v>
      </c>
      <c r="S44" s="125" t="s">
        <v>336</v>
      </c>
      <c r="T44" s="188">
        <v>3</v>
      </c>
      <c r="U44" t="s">
        <v>466</v>
      </c>
      <c r="V44" s="125"/>
      <c r="W44" s="125"/>
      <c r="X44" s="188"/>
      <c r="Y44" s="25"/>
    </row>
    <row r="45" spans="2:25">
      <c r="B45" s="40"/>
      <c r="D45" s="40"/>
      <c r="G45" s="40"/>
      <c r="H45" s="40"/>
      <c r="N45" s="125" t="s">
        <v>324</v>
      </c>
      <c r="O45" s="125" t="s">
        <v>325</v>
      </c>
      <c r="P45" s="188">
        <v>3</v>
      </c>
      <c r="R45" s="190" t="s">
        <v>337</v>
      </c>
      <c r="S45" s="190" t="s">
        <v>338</v>
      </c>
      <c r="T45" s="188">
        <v>6</v>
      </c>
      <c r="U45" t="s">
        <v>464</v>
      </c>
      <c r="V45" s="190"/>
      <c r="W45" s="190"/>
      <c r="X45" s="188"/>
      <c r="Y45" s="25"/>
    </row>
    <row r="46" spans="2:25">
      <c r="B46" s="40"/>
      <c r="D46" s="40"/>
      <c r="G46" s="40"/>
      <c r="H46" s="40"/>
      <c r="N46" s="125" t="s">
        <v>326</v>
      </c>
      <c r="O46" s="125" t="s">
        <v>237</v>
      </c>
      <c r="P46" s="188">
        <v>3</v>
      </c>
    </row>
    <row r="47" spans="2:25">
      <c r="B47" s="40"/>
      <c r="D47" s="40"/>
      <c r="G47" s="40"/>
      <c r="H47" s="40"/>
      <c r="N47" s="125" t="s">
        <v>327</v>
      </c>
      <c r="O47" s="125" t="s">
        <v>328</v>
      </c>
      <c r="P47" s="188">
        <v>6</v>
      </c>
    </row>
    <row r="48" spans="2:25">
      <c r="B48" s="40"/>
      <c r="D48" s="40"/>
      <c r="G48" s="40"/>
      <c r="H48" s="40"/>
      <c r="N48" s="125" t="s">
        <v>329</v>
      </c>
      <c r="O48" s="125" t="s">
        <v>330</v>
      </c>
      <c r="P48" s="188">
        <v>6</v>
      </c>
    </row>
    <row r="49" spans="2:16">
      <c r="B49" s="40"/>
      <c r="D49" s="40"/>
      <c r="G49" s="40"/>
      <c r="H49" s="40"/>
      <c r="N49" s="125" t="s">
        <v>331</v>
      </c>
      <c r="O49" s="125" t="s">
        <v>332</v>
      </c>
      <c r="P49" s="188">
        <v>6</v>
      </c>
    </row>
    <row r="50" spans="2:16">
      <c r="B50" s="40"/>
      <c r="D50" s="40"/>
      <c r="G50" s="40"/>
      <c r="H50" s="40"/>
      <c r="N50" s="125" t="s">
        <v>333</v>
      </c>
      <c r="O50" s="125" t="s">
        <v>334</v>
      </c>
      <c r="P50" s="188">
        <v>6</v>
      </c>
    </row>
    <row r="51" spans="2:16">
      <c r="B51" s="40"/>
      <c r="D51" s="40"/>
      <c r="G51" s="40"/>
      <c r="H51" s="40"/>
      <c r="N51" s="125" t="s">
        <v>335</v>
      </c>
      <c r="O51" s="125" t="s">
        <v>336</v>
      </c>
      <c r="P51" s="188">
        <v>3</v>
      </c>
    </row>
    <row r="52" spans="2:16">
      <c r="B52" s="40"/>
      <c r="D52" s="40"/>
      <c r="G52" s="40"/>
      <c r="H52" s="40"/>
      <c r="N52" s="190" t="s">
        <v>337</v>
      </c>
      <c r="O52" s="190" t="s">
        <v>338</v>
      </c>
      <c r="P52" s="188">
        <v>6</v>
      </c>
    </row>
    <row r="53" spans="2:16">
      <c r="G53" s="40"/>
      <c r="H53" s="40"/>
      <c r="N53" s="125" t="s">
        <v>339</v>
      </c>
      <c r="O53" s="125" t="s">
        <v>340</v>
      </c>
      <c r="P53" s="188">
        <v>3</v>
      </c>
    </row>
    <row r="54" spans="2:16">
      <c r="B54" s="25"/>
      <c r="G54" s="40"/>
      <c r="H54" s="40"/>
      <c r="N54" s="125" t="s">
        <v>341</v>
      </c>
      <c r="O54" s="125" t="s">
        <v>342</v>
      </c>
      <c r="P54" s="188">
        <v>3</v>
      </c>
    </row>
    <row r="55" spans="2:16">
      <c r="B55" s="40"/>
      <c r="G55" s="40"/>
      <c r="H55" s="40"/>
      <c r="N55" s="125" t="s">
        <v>343</v>
      </c>
      <c r="O55" s="125" t="s">
        <v>227</v>
      </c>
      <c r="P55" s="188">
        <v>3</v>
      </c>
    </row>
    <row r="56" spans="2:16">
      <c r="B56" s="40"/>
      <c r="G56" s="40"/>
      <c r="H56" s="40"/>
      <c r="N56" s="190" t="s">
        <v>344</v>
      </c>
      <c r="O56" s="190" t="s">
        <v>345</v>
      </c>
      <c r="P56" s="218">
        <v>3</v>
      </c>
    </row>
    <row r="57" spans="2:16">
      <c r="B57" s="40"/>
      <c r="G57" s="40"/>
      <c r="H57" s="40"/>
    </row>
    <row r="58" spans="2:16">
      <c r="B58" s="40"/>
      <c r="G58" s="40"/>
      <c r="H58" s="40"/>
    </row>
    <row r="59" spans="2:16">
      <c r="B59" s="40"/>
      <c r="G59" s="40"/>
      <c r="H59" s="40"/>
    </row>
    <row r="60" spans="2:16" ht="15.75" thickBot="1">
      <c r="B60" s="40"/>
      <c r="G60" s="40"/>
      <c r="H60" s="40"/>
    </row>
    <row r="61" spans="2:16" ht="15.75" thickBot="1">
      <c r="B61" s="40"/>
      <c r="G61" s="41"/>
      <c r="H61" s="41"/>
    </row>
    <row r="62" spans="2:16">
      <c r="B62" s="40"/>
    </row>
    <row r="63" spans="2:16">
      <c r="B63" s="40"/>
    </row>
    <row r="64" spans="2:16">
      <c r="B64" s="40"/>
    </row>
    <row r="65" spans="2:21">
      <c r="B65" s="40"/>
    </row>
    <row r="66" spans="2:21">
      <c r="B66" s="40"/>
    </row>
    <row r="67" spans="2:21">
      <c r="B67" s="40"/>
    </row>
    <row r="70" spans="2:21">
      <c r="B70" s="40"/>
    </row>
    <row r="71" spans="2:21">
      <c r="B71" s="40"/>
    </row>
    <row r="72" spans="2:21">
      <c r="B72" s="40"/>
    </row>
    <row r="73" spans="2:21">
      <c r="B73" s="40"/>
    </row>
    <row r="74" spans="2:21">
      <c r="B74" s="40"/>
    </row>
    <row r="75" spans="2:21">
      <c r="B75" s="40"/>
    </row>
    <row r="76" spans="2:21">
      <c r="B76" s="40"/>
      <c r="U76" s="25"/>
    </row>
    <row r="77" spans="2:21">
      <c r="B77" s="40"/>
      <c r="U77" s="25"/>
    </row>
    <row r="78" spans="2:21">
      <c r="B78" s="40"/>
      <c r="U78" s="25"/>
    </row>
    <row r="79" spans="2:21">
      <c r="B79" s="40"/>
      <c r="U79" s="25"/>
    </row>
    <row r="80" spans="2:21">
      <c r="B80" s="40"/>
      <c r="U80" s="25"/>
    </row>
    <row r="81" spans="2:21">
      <c r="B81" s="40"/>
      <c r="U81" s="25"/>
    </row>
    <row r="82" spans="2:21">
      <c r="B82" s="40"/>
      <c r="U82" s="25"/>
    </row>
    <row r="83" spans="2:21">
      <c r="B83" s="40"/>
      <c r="U83" s="25"/>
    </row>
    <row r="84" spans="2:21">
      <c r="B84" s="40"/>
      <c r="U84" s="25"/>
    </row>
    <row r="85" spans="2:21">
      <c r="B85" s="40"/>
      <c r="U85" s="25"/>
    </row>
    <row r="86" spans="2:21">
      <c r="B86" s="40"/>
      <c r="U86" s="25"/>
    </row>
    <row r="87" spans="2:21">
      <c r="B87" s="40"/>
      <c r="U87" s="25"/>
    </row>
    <row r="88" spans="2:21">
      <c r="B88" s="40"/>
      <c r="U88" s="25"/>
    </row>
    <row r="89" spans="2:21">
      <c r="B89" s="40"/>
      <c r="U89" s="25"/>
    </row>
    <row r="90" spans="2:21">
      <c r="B90" s="40"/>
      <c r="U90" s="25"/>
    </row>
    <row r="91" spans="2:21">
      <c r="B91" s="40"/>
      <c r="U91" s="25"/>
    </row>
    <row r="92" spans="2:21">
      <c r="B92" s="40"/>
      <c r="U92" s="25"/>
    </row>
    <row r="93" spans="2:21">
      <c r="U93" s="25"/>
    </row>
    <row r="94" spans="2:21">
      <c r="U94" s="25"/>
    </row>
    <row r="95" spans="2:21">
      <c r="U95" s="25"/>
    </row>
    <row r="96" spans="2:21">
      <c r="U96" s="25"/>
    </row>
  </sheetData>
  <sheetProtection algorithmName="SHA-512" hashValue="sci9gEeLiq71IH1Rc3V1GVp/B8iffWuEIxSuUIvP5bclOfOtxI6U1dPa3nMFIic6Qk4fli2oAzzfWc7gsIExgw==" saltValue="mEY/X0h+pdl9qJfU84EVSg==" spinCount="100000" sheet="1" objects="1" scenarios="1"/>
  <sortState ref="N25:P56">
    <sortCondition ref="N25:N56"/>
  </sortState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mmandButton_Test">
          <controlPr defaultSize="0" autoLine="0" r:id="rId5">
            <anchor moveWithCells="1">
              <from>
                <xdr:col>1</xdr:col>
                <xdr:colOff>9525</xdr:colOff>
                <xdr:row>2</xdr:row>
                <xdr:rowOff>9525</xdr:rowOff>
              </from>
              <to>
                <xdr:col>1</xdr:col>
                <xdr:colOff>4257675</xdr:colOff>
                <xdr:row>7</xdr:row>
                <xdr:rowOff>19050</xdr:rowOff>
              </to>
            </anchor>
          </controlPr>
        </control>
      </mc:Choice>
      <mc:Fallback>
        <control shapeId="3073" r:id="rId4" name="CommandButton_Test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Programme</vt:lpstr>
      <vt:lpstr>cohort</vt:lpstr>
      <vt:lpstr>math_elective_list</vt:lpstr>
      <vt:lpstr>math_elective_selection</vt:lpstr>
      <vt:lpstr>math_electives_2016_lijst</vt:lpstr>
      <vt:lpstr>math_electives_2016_selectie</vt:lpstr>
      <vt:lpstr>math_electives_2018_lijst</vt:lpstr>
      <vt:lpstr>math_electives_2018_selectie</vt:lpstr>
      <vt:lpstr>Minors!minor_yes_no</vt:lpstr>
      <vt:lpstr>minorlist</vt:lpstr>
      <vt:lpstr>Programme!Print_Area</vt:lpstr>
      <vt:lpstr>prospectuslist</vt:lpstr>
      <vt:lpstr>YesNoMain</vt:lpstr>
    </vt:vector>
  </TitlesOfParts>
  <Company>Radboud Universiteit Nijmegen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E620005</dc:creator>
  <cp:lastModifiedBy>Vries, W.B. de (Ina)</cp:lastModifiedBy>
  <cp:lastPrinted>2016-11-04T20:23:53Z</cp:lastPrinted>
  <dcterms:created xsi:type="dcterms:W3CDTF">2015-11-11T09:22:01Z</dcterms:created>
  <dcterms:modified xsi:type="dcterms:W3CDTF">2019-04-26T14:30:15Z</dcterms:modified>
</cp:coreProperties>
</file>